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tabRatio="941" firstSheet="1" activeTab="8"/>
  </bookViews>
  <sheets>
    <sheet name="YZYZNMO" sheetId="1" state="hidden" r:id="rId1"/>
    <sheet name="工程概况" sheetId="2" r:id="rId2"/>
    <sheet name="工程总造价构成及主要指标" sheetId="3" r:id="rId3"/>
    <sheet name="建筑工程费用组成分析表" sheetId="4" r:id="rId4"/>
    <sheet name="安装工程费用组成分析表" sheetId="5" r:id="rId5"/>
    <sheet name="分部分项工程量及主要费用增减表" sheetId="6" r:id="rId6"/>
    <sheet name="措施项目费和其他项目费增减表" sheetId="7" r:id="rId7"/>
    <sheet name="计日工费用增减表" sheetId="8" r:id="rId8"/>
    <sheet name="主要材料和设备增减表" sheetId="9" r:id="rId9"/>
  </sheets>
  <definedNames/>
  <calcPr fullCalcOnLoad="1"/>
</workbook>
</file>

<file path=xl/sharedStrings.xml><?xml version="1.0" encoding="utf-8"?>
<sst xmlns="http://schemas.openxmlformats.org/spreadsheetml/2006/main" count="780" uniqueCount="489">
  <si>
    <t>（一）工程概况</t>
  </si>
  <si>
    <t>工程名称</t>
  </si>
  <si>
    <t>某健身中心建设项目工程</t>
  </si>
  <si>
    <t>工程所在地</t>
  </si>
  <si>
    <t>仪征市</t>
  </si>
  <si>
    <t>建设单位</t>
  </si>
  <si>
    <t>仪征市某体育产业发展有限公司</t>
  </si>
  <si>
    <t>设计单位</t>
  </si>
  <si>
    <t>江苏省某建设股份有限公司</t>
  </si>
  <si>
    <t>施工企业</t>
  </si>
  <si>
    <t>江苏某建设集团公司</t>
  </si>
  <si>
    <t>造价咨询企业</t>
  </si>
  <si>
    <t>江苏某投资咨询管理有限公司</t>
  </si>
  <si>
    <t>开工日期</t>
  </si>
  <si>
    <t>2017年12月18日</t>
  </si>
  <si>
    <t>竣工日期</t>
  </si>
  <si>
    <t>2019年10月15日</t>
  </si>
  <si>
    <t>合同工期</t>
  </si>
  <si>
    <t>实际工期</t>
  </si>
  <si>
    <t>工程用途</t>
  </si>
  <si>
    <t>全民健身中心,内设小型游泳馆</t>
  </si>
  <si>
    <t>结构类型</t>
  </si>
  <si>
    <t>框架</t>
  </si>
  <si>
    <t>建筑面积(m2)</t>
  </si>
  <si>
    <t>地上层数</t>
  </si>
  <si>
    <t>五层</t>
  </si>
  <si>
    <t>地下层数</t>
  </si>
  <si>
    <t>一层</t>
  </si>
  <si>
    <t>檐口高度(m)</t>
  </si>
  <si>
    <t>计价方式</t>
  </si>
  <si>
    <t>工程量清单计价</t>
  </si>
  <si>
    <t>合同类型</t>
  </si>
  <si>
    <t>固定单价</t>
  </si>
  <si>
    <t>投资类型</t>
  </si>
  <si>
    <t>国有</t>
  </si>
  <si>
    <t>工  程  特  征  描  述</t>
  </si>
  <si>
    <t>土石方工程</t>
  </si>
  <si>
    <t>二类土，挖土深度5.7m内，土方场外运输</t>
  </si>
  <si>
    <t>外墙保温节能</t>
  </si>
  <si>
    <t>40厚发泡水泥板</t>
  </si>
  <si>
    <t>基础工程</t>
  </si>
  <si>
    <t>AZH-400-10C砼方桩，C35P6有梁式满堂基础，基坑支护采用ф850@1200三轴水泥土搅拌桩及泥浆护壁成孔灌注桩φ800@1400</t>
  </si>
  <si>
    <t>门窗工程</t>
  </si>
  <si>
    <t>铝合金门窗、木质防火门、电动防火卷帘（闸）门、成品木门、铝合金百页窗、人防防护密闭门等</t>
  </si>
  <si>
    <t>柱梁板工程</t>
  </si>
  <si>
    <t>基础～-0.05砼等级为C35P6,标高-0.05～21.85砼等级为C30，二次结构砼等级为C25</t>
  </si>
  <si>
    <t>安装工程</t>
  </si>
  <si>
    <t>人防平时电气、人防战时电气、地下电气、地上配电、地上照明、插座、防雷接地；给水、热水、排水、冷凝水、压力排水；电视、电话、网络预埋管盒、消火栓、自动喷淋、自动报警</t>
  </si>
  <si>
    <t>墙体工程</t>
  </si>
  <si>
    <t>外墙为砂加气砼砌块，内墙为蒸压加气砼砌块</t>
  </si>
  <si>
    <t>VRV空调工程</t>
  </si>
  <si>
    <t>VRV空调冷媒管、空调冷凝水管、VRV室内机、VRV室外机及控制电路</t>
  </si>
  <si>
    <t>楼地面工程</t>
  </si>
  <si>
    <t>自行车库地面：C30细石砼找坡厚95mm设分隔缝，金刚砂耐磨地面；泳池内部做法：600厚细石砼C15，12厚1：2水泥砂浆找平，2厚高分子防水涂料，15厚聚合物砂浆打底，12厚1：2水泥砂浆找平，泳池专用釉面砖；地砖地面（泳池区）：素土夯实，60厚C15砼，素水泥砂浆一道，1：3水泥砂浆找平厚度50，1.5厚聚氨酯防水，20厚1：3干硬水泥砂浆黏贴泳池专用釉面砖；卫生间地面：60厚C15砼，素水泥砂浆一道，1：3水泥砂浆找平厚度50，1.5厚聚氨酯防水，20厚1：3干硬水泥砂浆黏贴地砖；卫生间楼面：素水泥砂浆一道，1：3水泥砂浆找平厚度50，1.5厚聚氨酯防水，20厚1：3干硬水泥砂浆黏贴地砖（品牌选用恒福/冠军/神韵）规格300*300；楼梯间：水泥砂浆面层；其他地面：60厚C15砼，水泥砂浆一道，40厚C20细石砼压实抹光；其他楼面：C20细石混凝土找平层 厚40mm</t>
  </si>
  <si>
    <t>能耗监测及防火门监控系统安装工程</t>
  </si>
  <si>
    <t>配管、配线、控制设备</t>
  </si>
  <si>
    <t>屋盖工程</t>
  </si>
  <si>
    <t xml:space="preserve">地上屋面：轻质砼找坡厚度110，70厚挤塑聚苯板，20厚1：3水泥砂浆，聚氨酯防水涂料2.0厚，4厚SBS改性沥青防水卷材，10厚石灰砂浆隔离层，40厚C30细石砼，内配C4@150*150钢丝网双向，设分隔；地下室屋面：40厚C20细石砼，1.2厚有机防水涂料，1.2厚CL-P（聚氯乙烯）耐根穿刺防水卷材，70厚C20细石砼内配C4@200双向钢丝网、设分隔缝，防排水板，土工布一层；型材屋面：0.9mm厚度65-428 型直立锁边铝镁锰合金屋面板（3004材质氟碳），1.5厚聚乙烯（丙）涤纶高分子防水卷材，100mm厚厚容重16K 玻璃丝保温棉（卷），H135mm高强度铝合金固定支座（带橡胶隔热垫）按网格@430，0.5mm厚 V-900镀铝锌压型彩钢板
</t>
  </si>
  <si>
    <t>通风工程</t>
  </si>
  <si>
    <t>地下平时通风、地下战时、负一层、地上部分、泳池通风、新风、风管、风机</t>
  </si>
  <si>
    <t>内墙饰面</t>
  </si>
  <si>
    <t xml:space="preserve">汽车车库： 刷界面处理剂一道，10厚1:2 水泥砂浆抹面，15 厚1:3 水泥砂浆打底
，刷白色防霉涂料；风机房墙面：5 厚穿孔胶合板或穿孔纤维板面层，暗钉钉牢（根据设计要求穿孔），40×40 木龙骨（正面刨光）双向中距450-600，中填50 超细玻璃棉袋，干铺石油沥青油毡一层，刷热沥青一遍（或改性沥青一道）；卫生间更衣室墙面：界面剂一道，6厚1：1：6混合砂浆，6厚1：0.5：2.5混合砂浆，1.5厚聚合物水泥基防水涂料，胶泥黏贴面砖规格300*600；其他内墙：界面剂一道，8厚1：1：6混合砂浆，5厚1：0.5：2.5混合砂浆
</t>
  </si>
  <si>
    <t>泳池设备及配套工程</t>
  </si>
  <si>
    <t>除湿恒温系统、池水处理系统、地暖系统、游泳池供热系统、体育器材</t>
  </si>
  <si>
    <t>外墙饰面</t>
  </si>
  <si>
    <t>外墙真石漆，钢龙骨铝板面层</t>
  </si>
  <si>
    <t>（二）工程总造价构成及主要指标 （元）</t>
  </si>
  <si>
    <t>内容</t>
  </si>
  <si>
    <t>合同价</t>
  </si>
  <si>
    <t>结算价</t>
  </si>
  <si>
    <t>差    异</t>
  </si>
  <si>
    <t>差异主要原因</t>
  </si>
  <si>
    <t>总造价</t>
  </si>
  <si>
    <t>每平方米</t>
  </si>
  <si>
    <t>占总造价％</t>
  </si>
  <si>
    <t>总价</t>
  </si>
  <si>
    <t>±％</t>
  </si>
  <si>
    <t>（±元）</t>
  </si>
  <si>
    <t>其中</t>
  </si>
  <si>
    <t>土建工程</t>
  </si>
  <si>
    <t>钢材、商品砼等材料价格调差；屋面保温、支护桩变更；人工费调整；土方运距的增加。</t>
  </si>
  <si>
    <t>装饰工程</t>
  </si>
  <si>
    <t>商品砼、预拌砂浆等材料价格调差，人工费调整</t>
  </si>
  <si>
    <t>人防设备未安装、空调设备数量调整</t>
  </si>
  <si>
    <t>其他</t>
  </si>
  <si>
    <t>结算后主要材料和人工消耗量指标</t>
  </si>
  <si>
    <t>钢材用量(t)</t>
  </si>
  <si>
    <t>钢材消耗指标(kg/m2)</t>
  </si>
  <si>
    <t>水泥用量(t)</t>
  </si>
  <si>
    <t>水泥消耗指标(t/m2)</t>
  </si>
  <si>
    <t>木材用量（m3）</t>
  </si>
  <si>
    <t>木材消耗指标(m3/m2)</t>
  </si>
  <si>
    <t>人工工日用量(工日)</t>
  </si>
  <si>
    <t>人工工日</t>
  </si>
  <si>
    <t>消耗指标</t>
  </si>
  <si>
    <t>（三）建筑工程费用组成分析表</t>
  </si>
  <si>
    <t>单位工程名称</t>
  </si>
  <si>
    <t>某全民健身中心建设项目工程</t>
  </si>
  <si>
    <t>江苏某建设有限公司</t>
  </si>
  <si>
    <t>项目名称</t>
  </si>
  <si>
    <t>合同造价</t>
  </si>
  <si>
    <t>占合同</t>
  </si>
  <si>
    <t>平米合同造价（元/㎡）</t>
  </si>
  <si>
    <t>结算造价</t>
  </si>
  <si>
    <t>占结算</t>
  </si>
  <si>
    <t>平米结算造价（元/㎡）</t>
  </si>
  <si>
    <t>（元）</t>
  </si>
  <si>
    <t>造价％</t>
  </si>
  <si>
    <t>结算价减合同价（±元）</t>
  </si>
  <si>
    <t>建筑工程</t>
  </si>
  <si>
    <t>桩基工程</t>
  </si>
  <si>
    <t>基坑支护中桩变更</t>
  </si>
  <si>
    <t>主体结构</t>
  </si>
  <si>
    <t xml:space="preserve">钢材、商品砼、预拌砂浆材料价格调差；人工费调整；土方外运增加运距，地下室地面变更。
</t>
  </si>
  <si>
    <t xml:space="preserve">商品砼、预拌砂浆材料价格调差；人工费调整。
</t>
  </si>
  <si>
    <t>一</t>
  </si>
  <si>
    <t>分部分项工程费</t>
  </si>
  <si>
    <t>人工费</t>
  </si>
  <si>
    <t>材料费</t>
  </si>
  <si>
    <t>机械费</t>
  </si>
  <si>
    <t>管理费</t>
  </si>
  <si>
    <t>利润</t>
  </si>
  <si>
    <t>二</t>
  </si>
  <si>
    <t>措施项目费</t>
  </si>
  <si>
    <t>三</t>
  </si>
  <si>
    <t>其他项目费</t>
  </si>
  <si>
    <t>四</t>
  </si>
  <si>
    <t>规费</t>
  </si>
  <si>
    <t>五</t>
  </si>
  <si>
    <t>税金</t>
  </si>
  <si>
    <t>税金税率按9%调整</t>
  </si>
  <si>
    <t>合计</t>
  </si>
  <si>
    <t>（四）安装工程费用组成分析表</t>
  </si>
  <si>
    <t>人工费调整</t>
  </si>
  <si>
    <t>空调设备数量调整</t>
  </si>
  <si>
    <t>税金调整</t>
  </si>
  <si>
    <t>人防设备及管道未安装</t>
  </si>
  <si>
    <t>管道工程量减少</t>
  </si>
  <si>
    <t>（五）分部分项工程量及主要费用增减表</t>
  </si>
  <si>
    <t>序号</t>
  </si>
  <si>
    <t>项目编码</t>
  </si>
  <si>
    <t>计量单位</t>
  </si>
  <si>
    <t>工程数量</t>
  </si>
  <si>
    <t>综合单价（元）</t>
  </si>
  <si>
    <t>合价（元）</t>
  </si>
  <si>
    <r>
      <t>差</t>
    </r>
    <r>
      <rPr>
        <b/>
        <sz val="10.5"/>
        <rFont val="Times New Roman"/>
        <family val="1"/>
      </rPr>
      <t xml:space="preserve">  </t>
    </r>
    <r>
      <rPr>
        <b/>
        <sz val="10.5"/>
        <rFont val="宋体"/>
        <family val="0"/>
      </rPr>
      <t>异</t>
    </r>
    <r>
      <rPr>
        <b/>
        <sz val="10.5"/>
        <rFont val="Times New Roman"/>
        <family val="1"/>
      </rPr>
      <t xml:space="preserve"> </t>
    </r>
    <r>
      <rPr>
        <b/>
        <sz val="10.5"/>
        <rFont val="宋体"/>
        <family val="0"/>
      </rPr>
      <t>（结算减合同±）</t>
    </r>
  </si>
  <si>
    <t>合同数量</t>
  </si>
  <si>
    <t>结算</t>
  </si>
  <si>
    <t>合同</t>
  </si>
  <si>
    <t>综合单价</t>
  </si>
  <si>
    <t>合价</t>
  </si>
  <si>
    <t>数量</t>
  </si>
  <si>
    <t>单价</t>
  </si>
  <si>
    <t>挖一般土方（含工作面及放坡）</t>
  </si>
  <si>
    <t>m3</t>
  </si>
  <si>
    <t>46727.29</t>
  </si>
  <si>
    <t>43814.84</t>
  </si>
  <si>
    <t>13.13</t>
  </si>
  <si>
    <t>13.11</t>
  </si>
  <si>
    <t>613529.32</t>
  </si>
  <si>
    <t>574412.55</t>
  </si>
  <si>
    <t>工程量有误</t>
  </si>
  <si>
    <t>回填方</t>
  </si>
  <si>
    <t>9398.68</t>
  </si>
  <si>
    <t>6043.16</t>
  </si>
  <si>
    <t>17.33</t>
  </si>
  <si>
    <t>162879.12</t>
  </si>
  <si>
    <t>104727.96</t>
  </si>
  <si>
    <t>工程量有误。</t>
  </si>
  <si>
    <t>余方弃置</t>
  </si>
  <si>
    <t>36762.27</t>
  </si>
  <si>
    <t>35696.64</t>
  </si>
  <si>
    <t>14.71</t>
  </si>
  <si>
    <t>14.69</t>
  </si>
  <si>
    <t>540772.99</t>
  </si>
  <si>
    <t>524383.64</t>
  </si>
  <si>
    <t>满堂基础</t>
  </si>
  <si>
    <t>2634.92</t>
  </si>
  <si>
    <t>2459.54</t>
  </si>
  <si>
    <t>514.83</t>
  </si>
  <si>
    <t>1356535.86</t>
  </si>
  <si>
    <t>1266244.98</t>
  </si>
  <si>
    <t>直形墙</t>
  </si>
  <si>
    <t>446.29</t>
  </si>
  <si>
    <t>540.28</t>
  </si>
  <si>
    <t>550.21</t>
  </si>
  <si>
    <t>245553.22</t>
  </si>
  <si>
    <t>297267.46</t>
  </si>
  <si>
    <t>246.48</t>
  </si>
  <si>
    <t>294.33</t>
  </si>
  <si>
    <t>135615.76</t>
  </si>
  <si>
    <t>161943.31</t>
  </si>
  <si>
    <t>有梁板</t>
  </si>
  <si>
    <t>977.16</t>
  </si>
  <si>
    <t>952.47</t>
  </si>
  <si>
    <t>551.48</t>
  </si>
  <si>
    <t>538884.20</t>
  </si>
  <si>
    <t>525268.16</t>
  </si>
  <si>
    <t>后浇带</t>
  </si>
  <si>
    <t>79.05</t>
  </si>
  <si>
    <t>42.23</t>
  </si>
  <si>
    <t>530.13</t>
  </si>
  <si>
    <t>41906.78</t>
  </si>
  <si>
    <t>22387.39</t>
  </si>
  <si>
    <t>现浇构件钢筋</t>
  </si>
  <si>
    <t>t</t>
  </si>
  <si>
    <t>183.152</t>
  </si>
  <si>
    <t>195.079</t>
  </si>
  <si>
    <t>5077.75</t>
  </si>
  <si>
    <t>930000.07</t>
  </si>
  <si>
    <t>990562.39</t>
  </si>
  <si>
    <t>649.15</t>
  </si>
  <si>
    <t>681.469</t>
  </si>
  <si>
    <t>4519.18</t>
  </si>
  <si>
    <t>2933625.70</t>
  </si>
  <si>
    <t>3079681.08</t>
  </si>
  <si>
    <t>钢筋电渣压力焊接头</t>
  </si>
  <si>
    <t>个</t>
  </si>
  <si>
    <t>5269.0</t>
  </si>
  <si>
    <t>2397.0</t>
  </si>
  <si>
    <t>7.04</t>
  </si>
  <si>
    <t>37093.76</t>
  </si>
  <si>
    <t>16874.88</t>
  </si>
  <si>
    <t>墙面一般抹灰</t>
  </si>
  <si>
    <t>m2</t>
  </si>
  <si>
    <t>3861.89</t>
  </si>
  <si>
    <t>54.72</t>
  </si>
  <si>
    <t>30.91</t>
  </si>
  <si>
    <t>211322.62</t>
  </si>
  <si>
    <t>119371.02</t>
  </si>
  <si>
    <t>工程量有误，单价计取不正确。</t>
  </si>
  <si>
    <t>2285.01</t>
  </si>
  <si>
    <t>2766.23</t>
  </si>
  <si>
    <t>75.49</t>
  </si>
  <si>
    <t>172495.40</t>
  </si>
  <si>
    <t>208822.70</t>
  </si>
  <si>
    <t>1010.57</t>
  </si>
  <si>
    <t>1206.75</t>
  </si>
  <si>
    <t>62.14</t>
  </si>
  <si>
    <t>62796.82</t>
  </si>
  <si>
    <t>74987.45</t>
  </si>
  <si>
    <t>4885.8</t>
  </si>
  <si>
    <t>4762.35</t>
  </si>
  <si>
    <t>82.61</t>
  </si>
  <si>
    <t>403615.94</t>
  </si>
  <si>
    <t>393417.73</t>
  </si>
  <si>
    <t>填充墙</t>
  </si>
  <si>
    <t>625.83</t>
  </si>
  <si>
    <t>660.8</t>
  </si>
  <si>
    <t>399.98</t>
  </si>
  <si>
    <t>250319.48</t>
  </si>
  <si>
    <t>264306.78</t>
  </si>
  <si>
    <t>构造柱</t>
  </si>
  <si>
    <t>103.73</t>
  </si>
  <si>
    <t>68.23</t>
  </si>
  <si>
    <t>639.91</t>
  </si>
  <si>
    <t>66377.86</t>
  </si>
  <si>
    <t>43661.06</t>
  </si>
  <si>
    <t>69.16</t>
  </si>
  <si>
    <t>44.53</t>
  </si>
  <si>
    <t>1558.63</t>
  </si>
  <si>
    <t>541.35</t>
  </si>
  <si>
    <t>107794.85</t>
  </si>
  <si>
    <t>24106.32</t>
  </si>
  <si>
    <t>1494.84</t>
  </si>
  <si>
    <t>1471.26</t>
  </si>
  <si>
    <t>482.24</t>
  </si>
  <si>
    <t>720871.64</t>
  </si>
  <si>
    <t>709500.42</t>
  </si>
  <si>
    <t>263.808</t>
  </si>
  <si>
    <t>252.425</t>
  </si>
  <si>
    <t>5124.67</t>
  </si>
  <si>
    <t>1351928.94</t>
  </si>
  <si>
    <t>1293594.82</t>
  </si>
  <si>
    <t>182.392</t>
  </si>
  <si>
    <t>175.264</t>
  </si>
  <si>
    <t>4566.1</t>
  </si>
  <si>
    <t>832820.11</t>
  </si>
  <si>
    <t>800272.95</t>
  </si>
  <si>
    <t>12.147</t>
  </si>
  <si>
    <t>8.068</t>
  </si>
  <si>
    <t>6705.97</t>
  </si>
  <si>
    <t>81457.42</t>
  </si>
  <si>
    <t>54103.77</t>
  </si>
  <si>
    <t>金属（塑钢）门</t>
  </si>
  <si>
    <t>262.27</t>
  </si>
  <si>
    <t>318.42</t>
  </si>
  <si>
    <t>644.51</t>
  </si>
  <si>
    <t>169035.64</t>
  </si>
  <si>
    <t>205224.87</t>
  </si>
  <si>
    <t>金属（塑钢、断桥）窗</t>
  </si>
  <si>
    <t>1253.34</t>
  </si>
  <si>
    <t>1340.07</t>
  </si>
  <si>
    <t>641.04</t>
  </si>
  <si>
    <t>803441.07</t>
  </si>
  <si>
    <t>859038.47</t>
  </si>
  <si>
    <t>墙面涂膜防水</t>
  </si>
  <si>
    <t>865.9</t>
  </si>
  <si>
    <t>720.54</t>
  </si>
  <si>
    <t>206.87</t>
  </si>
  <si>
    <t>185.88</t>
  </si>
  <si>
    <t>179128.73</t>
  </si>
  <si>
    <t>133933.98</t>
  </si>
  <si>
    <t>工程量有误，部分外墙未施工3：7灰土。</t>
  </si>
  <si>
    <t>墙面装饰板</t>
  </si>
  <si>
    <t>901.85</t>
  </si>
  <si>
    <t>390.08</t>
  </si>
  <si>
    <t>528.02</t>
  </si>
  <si>
    <t>476194.84</t>
  </si>
  <si>
    <t>205970.04</t>
  </si>
  <si>
    <t>1036.89</t>
  </si>
  <si>
    <t>525.5</t>
  </si>
  <si>
    <t>30.21</t>
  </si>
  <si>
    <t>31324.45</t>
  </si>
  <si>
    <t>15875.36</t>
  </si>
  <si>
    <t>445.29</t>
  </si>
  <si>
    <t>224.28</t>
  </si>
  <si>
    <t>140.95</t>
  </si>
  <si>
    <t>42.97</t>
  </si>
  <si>
    <t>62763.63</t>
  </si>
  <si>
    <t>9637.31</t>
  </si>
  <si>
    <t>工程量有误，女儿墙内侧未施工真石漆。</t>
  </si>
  <si>
    <t>零星项目一般抹灰</t>
  </si>
  <si>
    <t>330.92</t>
  </si>
  <si>
    <t>251.46</t>
  </si>
  <si>
    <t>205.85</t>
  </si>
  <si>
    <t>68119.88</t>
  </si>
  <si>
    <t>51763.04</t>
  </si>
  <si>
    <t>天棚一 涂料天棚</t>
  </si>
  <si>
    <t>11372.18</t>
  </si>
  <si>
    <t>10401.0</t>
  </si>
  <si>
    <t>19.68</t>
  </si>
  <si>
    <t>223804.50</t>
  </si>
  <si>
    <t>204691.68</t>
  </si>
  <si>
    <t>天棚二 保温吸声天棚</t>
  </si>
  <si>
    <t>474.23</t>
  </si>
  <si>
    <t>0.0</t>
  </si>
  <si>
    <t>90.89</t>
  </si>
  <si>
    <t>43102.76</t>
  </si>
  <si>
    <t>0.00</t>
  </si>
  <si>
    <t>现场未施工。</t>
  </si>
  <si>
    <t>1151.4</t>
  </si>
  <si>
    <t>757.4</t>
  </si>
  <si>
    <t>78.84</t>
  </si>
  <si>
    <t>90776.38</t>
  </si>
  <si>
    <t>59713.42</t>
  </si>
  <si>
    <t>12063.36</t>
  </si>
  <si>
    <t>11873.07</t>
  </si>
  <si>
    <t>74.55</t>
  </si>
  <si>
    <t>899323.49</t>
  </si>
  <si>
    <t>885137.37</t>
  </si>
  <si>
    <t>钢网架</t>
  </si>
  <si>
    <t>82.059</t>
  </si>
  <si>
    <t>75.01</t>
  </si>
  <si>
    <t>12223.3</t>
  </si>
  <si>
    <t>1003031.77</t>
  </si>
  <si>
    <t>916892.99</t>
  </si>
  <si>
    <t>工程量多计</t>
  </si>
  <si>
    <t>型材屋面</t>
  </si>
  <si>
    <t>1980.9</t>
  </si>
  <si>
    <t>1847.64</t>
  </si>
  <si>
    <t>332.37</t>
  </si>
  <si>
    <t>658391.73</t>
  </si>
  <si>
    <t>614100.11</t>
  </si>
  <si>
    <t>3mm厚氟碳喷涂铝单板带骨架幕墙</t>
  </si>
  <si>
    <t>276.1</t>
  </si>
  <si>
    <t>269.08</t>
  </si>
  <si>
    <t>624.45</t>
  </si>
  <si>
    <t>537.43</t>
  </si>
  <si>
    <t>172410.65</t>
  </si>
  <si>
    <t>144611.66</t>
  </si>
  <si>
    <t>工程量有误，与主楼交界处部分铝板未施工。</t>
  </si>
  <si>
    <t>深层搅拌桩</t>
  </si>
  <si>
    <t>3237.75</t>
  </si>
  <si>
    <t>5232.5</t>
  </si>
  <si>
    <t>213.23</t>
  </si>
  <si>
    <t>690385.43</t>
  </si>
  <si>
    <t>1115725.98</t>
  </si>
  <si>
    <t>泥浆护壁成孔灌注桩</t>
  </si>
  <si>
    <t>657.65</t>
  </si>
  <si>
    <t>627.09</t>
  </si>
  <si>
    <t>849.96</t>
  </si>
  <si>
    <t>558976.19</t>
  </si>
  <si>
    <t>533001.42</t>
  </si>
  <si>
    <t>80mm厚C20喷射砼面层</t>
  </si>
  <si>
    <t>533.44</t>
  </si>
  <si>
    <t>1205.59</t>
  </si>
  <si>
    <t>105.12</t>
  </si>
  <si>
    <t>56075.21</t>
  </si>
  <si>
    <t>126731.62</t>
  </si>
  <si>
    <t>50mm厚C20喷射砼面层</t>
  </si>
  <si>
    <t>2990.12</t>
  </si>
  <si>
    <t>1755.61</t>
  </si>
  <si>
    <t>91.36</t>
  </si>
  <si>
    <t>273177.36</t>
  </si>
  <si>
    <t>160392.53</t>
  </si>
  <si>
    <t>5.986</t>
  </si>
  <si>
    <t>3.034</t>
  </si>
  <si>
    <t>4946.75</t>
  </si>
  <si>
    <t>29611.25</t>
  </si>
  <si>
    <t>15008.44</t>
  </si>
  <si>
    <t>管井成井(含应急井)</t>
  </si>
  <si>
    <t>座天</t>
  </si>
  <si>
    <t>2500.0</t>
  </si>
  <si>
    <t>2128.0</t>
  </si>
  <si>
    <t>118.59</t>
  </si>
  <si>
    <t>296475.00</t>
  </si>
  <si>
    <t>252359.52</t>
  </si>
  <si>
    <t>排水、降水</t>
  </si>
  <si>
    <t>昼夜</t>
  </si>
  <si>
    <t>2000.0</t>
  </si>
  <si>
    <t>1800.0</t>
  </si>
  <si>
    <t>357.62</t>
  </si>
  <si>
    <t>715240.00</t>
  </si>
  <si>
    <t>643716.00</t>
  </si>
  <si>
    <t>基坑支护桩变更</t>
  </si>
  <si>
    <t>项</t>
  </si>
  <si>
    <t>土方运距增加</t>
  </si>
  <si>
    <t>工程签证土方运距增加</t>
  </si>
  <si>
    <t>屋面网架工程变更</t>
  </si>
  <si>
    <t>屋面网架工程变更增加费用</t>
  </si>
  <si>
    <t>人工调整</t>
  </si>
  <si>
    <t>材料调差</t>
  </si>
  <si>
    <t>商品砼、钢筋等材料施工期间材料价格上涨</t>
  </si>
  <si>
    <t>水灭火控制装置调试</t>
  </si>
  <si>
    <t>点</t>
  </si>
  <si>
    <t>实际调试点数与清单描述不一致</t>
  </si>
  <si>
    <t>室内消火栓</t>
  </si>
  <si>
    <t>套</t>
  </si>
  <si>
    <t>设计变更</t>
  </si>
  <si>
    <t>贮存装置-推车灭火器MFT/ABC20型</t>
  </si>
  <si>
    <t>未实施</t>
  </si>
  <si>
    <t>铜芯电力电缆
NH-YJV-5*4</t>
  </si>
  <si>
    <t>m</t>
  </si>
  <si>
    <t>工程量增加</t>
  </si>
  <si>
    <t>配线
WDZ-BYJ-2.5mm2</t>
  </si>
  <si>
    <t>风机盘管-VRV室内机</t>
  </si>
  <si>
    <t>台</t>
  </si>
  <si>
    <t>实际数量变化</t>
  </si>
  <si>
    <t>室内线控开关</t>
  </si>
  <si>
    <t>只</t>
  </si>
  <si>
    <t>数量变化，控制开关改遥控器</t>
  </si>
  <si>
    <t>人防过滤吸收器</t>
  </si>
  <si>
    <t>设备未安装</t>
  </si>
  <si>
    <t>离心式通风机</t>
  </si>
  <si>
    <t>碳钢通风管道1600*400</t>
  </si>
  <si>
    <t>风管未安装</t>
  </si>
  <si>
    <t>碳钢通风管道2000*500</t>
  </si>
  <si>
    <t>碳钢通风管道250*160</t>
  </si>
  <si>
    <t>单面彩钢酚醛复合风管2200*630</t>
  </si>
  <si>
    <t>喷水拱形门 2个/组</t>
  </si>
  <si>
    <t>组</t>
  </si>
  <si>
    <t>设备变更</t>
  </si>
  <si>
    <t>（六）措施项目费和其他项目费增减表</t>
  </si>
  <si>
    <t>差异（结算减合同±）</t>
  </si>
  <si>
    <t>现场安全文明施工（土建）</t>
  </si>
  <si>
    <t>分部分项工程费及单价措施费增加</t>
  </si>
  <si>
    <t>临时设施费（土建）</t>
  </si>
  <si>
    <t>现场安全文明施工（安装）</t>
  </si>
  <si>
    <t>分部分项工程费及单价措施费减少</t>
  </si>
  <si>
    <t>临时设施费（安装）</t>
  </si>
  <si>
    <t>安装工程投标比例占比高</t>
  </si>
  <si>
    <t>脚手架费（安装）</t>
  </si>
  <si>
    <t>人工费基数变少</t>
  </si>
  <si>
    <t>（七）计日工费用增减表</t>
  </si>
  <si>
    <t>单价（元）</t>
  </si>
  <si>
    <t>无</t>
  </si>
  <si>
    <t>（八）主要材料和设备增减表</t>
  </si>
  <si>
    <r>
      <t>甲供</t>
    </r>
    <r>
      <rPr>
        <b/>
        <sz val="10.5"/>
        <rFont val="Times New Roman"/>
        <family val="1"/>
      </rPr>
      <t>/</t>
    </r>
    <r>
      <rPr>
        <b/>
        <sz val="10.5"/>
        <rFont val="宋体"/>
        <family val="0"/>
      </rPr>
      <t>乙供</t>
    </r>
  </si>
  <si>
    <t>材料名称</t>
  </si>
  <si>
    <t>材料</t>
  </si>
  <si>
    <t>规格</t>
  </si>
  <si>
    <t>工程</t>
  </si>
  <si>
    <t>乙供</t>
  </si>
  <si>
    <t>钢筋(综合)</t>
  </si>
  <si>
    <t>T</t>
  </si>
  <si>
    <t>支护桩工程量增加，材料价格按合同约定调整</t>
  </si>
  <si>
    <t>钢筋(III级</t>
  </si>
  <si>
    <t>钢筋 三级HRB400E</t>
  </si>
  <si>
    <t>预拌混凝土(泵送型) C15</t>
  </si>
  <si>
    <t>预拌混凝土(泵送型) C30</t>
  </si>
  <si>
    <r>
      <t>预拌混凝土</t>
    </r>
    <r>
      <rPr>
        <sz val="10"/>
        <rFont val="Arial"/>
        <family val="2"/>
      </rPr>
      <t>(</t>
    </r>
    <r>
      <rPr>
        <sz val="10"/>
        <rFont val="宋体"/>
        <family val="0"/>
      </rPr>
      <t>泵送型</t>
    </r>
    <r>
      <rPr>
        <sz val="10"/>
        <rFont val="Arial"/>
        <family val="2"/>
      </rPr>
      <t>) C30P6</t>
    </r>
  </si>
  <si>
    <t>预拌混凝土(泵送型) C35</t>
  </si>
  <si>
    <r>
      <t>预拌混凝土</t>
    </r>
    <r>
      <rPr>
        <sz val="10"/>
        <rFont val="Arial"/>
        <family val="2"/>
      </rPr>
      <t>(</t>
    </r>
    <r>
      <rPr>
        <sz val="10"/>
        <rFont val="宋体"/>
        <family val="0"/>
      </rPr>
      <t>泵送型</t>
    </r>
    <r>
      <rPr>
        <sz val="10"/>
        <rFont val="Arial"/>
        <family val="2"/>
      </rPr>
      <t>) C35P6</t>
    </r>
  </si>
  <si>
    <r>
      <t>预拌混凝土</t>
    </r>
    <r>
      <rPr>
        <sz val="10"/>
        <rFont val="Arial"/>
        <family val="2"/>
      </rPr>
      <t>(</t>
    </r>
    <r>
      <rPr>
        <sz val="10"/>
        <rFont val="宋体"/>
        <family val="0"/>
      </rPr>
      <t>泵送型</t>
    </r>
    <r>
      <rPr>
        <sz val="10"/>
        <rFont val="Arial"/>
        <family val="2"/>
      </rPr>
      <t>) C40P6</t>
    </r>
  </si>
  <si>
    <t>预拌混凝土(非泵送型) C15</t>
  </si>
  <si>
    <t>预拌混凝土(非泵送型) C20</t>
  </si>
  <si>
    <t>预拌混凝土(非泵送型) C25</t>
  </si>
  <si>
    <t>预拌混凝土(非泵送型) C30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</si>
</sst>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;\-0.000;;"/>
    <numFmt numFmtId="177" formatCode="0.00_ "/>
    <numFmt numFmtId="178" formatCode="0_ "/>
    <numFmt numFmtId="179" formatCode="0.0000_ "/>
  </numFmts>
  <fonts count="36">
    <font>
      <sz val="12"/>
      <name val="宋体"/>
      <family val="0"/>
    </font>
    <font>
      <sz val="11"/>
      <name val="宋体"/>
      <family val="0"/>
    </font>
    <font>
      <b/>
      <sz val="10.5"/>
      <name val="宋体"/>
      <family val="0"/>
    </font>
    <font>
      <b/>
      <sz val="10.5"/>
      <name val="黑体"/>
      <family val="3"/>
    </font>
    <font>
      <sz val="10.5"/>
      <name val="Times New Roman"/>
      <family val="1"/>
    </font>
    <font>
      <sz val="10.5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0"/>
      <name val="Arial"/>
      <family val="2"/>
    </font>
    <font>
      <b/>
      <sz val="10.5"/>
      <name val="Times New Roman"/>
      <family val="1"/>
    </font>
    <font>
      <b/>
      <sz val="10.5"/>
      <color indexed="10"/>
      <name val="宋体"/>
      <family val="0"/>
    </font>
    <font>
      <b/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.5"/>
      <color rgb="FFFF0000"/>
      <name val="宋体"/>
      <family val="0"/>
    </font>
    <font>
      <sz val="10"/>
      <name val="Calibri"/>
      <family val="0"/>
    </font>
    <font>
      <sz val="10.5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/>
    </border>
    <border>
      <left>
        <color indexed="63"/>
      </left>
      <right>
        <color indexed="63"/>
      </right>
      <top style="medium"/>
      <bottom/>
    </border>
    <border>
      <left>
        <color indexed="63"/>
      </left>
      <right style="medium"/>
      <top style="medium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7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2" applyNumberFormat="0" applyFill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5" applyNumberFormat="0" applyAlignment="0" applyProtection="0"/>
    <xf numFmtId="0" fontId="21" fillId="4" borderId="6" applyNumberFormat="0" applyAlignment="0" applyProtection="0"/>
    <xf numFmtId="0" fontId="22" fillId="4" borderId="5" applyNumberFormat="0" applyAlignment="0" applyProtection="0"/>
    <xf numFmtId="0" fontId="23" fillId="5" borderId="7" applyNumberFormat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6" fillId="6" borderId="0" applyNumberFormat="0" applyBorder="0" applyAlignment="0" applyProtection="0"/>
    <xf numFmtId="0" fontId="27" fillId="7" borderId="0" applyNumberFormat="0" applyBorder="0" applyAlignment="0" applyProtection="0"/>
    <xf numFmtId="0" fontId="28" fillId="8" borderId="0" applyNumberFormat="0" applyBorder="0" applyAlignment="0" applyProtection="0"/>
    <xf numFmtId="0" fontId="29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7" borderId="0" applyNumberFormat="0" applyBorder="0" applyAlignment="0" applyProtection="0"/>
    <xf numFmtId="0" fontId="30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30" fillId="6" borderId="0" applyNumberFormat="0" applyBorder="0" applyAlignment="0" applyProtection="0"/>
    <xf numFmtId="0" fontId="30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29" fillId="17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11" borderId="0" applyNumberFormat="0" applyBorder="0" applyAlignment="0" applyProtection="0"/>
    <xf numFmtId="0" fontId="29" fillId="19" borderId="0" applyNumberFormat="0" applyBorder="0" applyAlignment="0" applyProtection="0"/>
    <xf numFmtId="0" fontId="29" fillId="21" borderId="0" applyNumberFormat="0" applyBorder="0" applyAlignment="0" applyProtection="0"/>
    <xf numFmtId="0" fontId="30" fillId="3" borderId="0" applyNumberFormat="0" applyBorder="0" applyAlignment="0" applyProtection="0"/>
    <xf numFmtId="0" fontId="30" fillId="22" borderId="0" applyNumberFormat="0" applyBorder="0" applyAlignment="0" applyProtection="0"/>
    <xf numFmtId="0" fontId="29" fillId="23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</cellStyleXfs>
  <cellXfs count="14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176" fontId="7" fillId="0" borderId="10" xfId="0" applyNumberFormat="1" applyFont="1" applyFill="1" applyBorder="1" applyAlignment="1" applyProtection="1">
      <alignment horizontal="right" vertical="center" wrapText="1"/>
      <protection/>
    </xf>
    <xf numFmtId="177" fontId="7" fillId="0" borderId="10" xfId="0" applyNumberFormat="1" applyFont="1" applyFill="1" applyBorder="1" applyAlignment="1" applyProtection="1">
      <alignment horizontal="right" vertical="center" wrapText="1"/>
      <protection/>
    </xf>
    <xf numFmtId="0" fontId="8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center" wrapText="1"/>
    </xf>
    <xf numFmtId="0" fontId="33" fillId="0" borderId="0" xfId="0" applyFont="1" applyAlignment="1">
      <alignment vertical="center"/>
    </xf>
    <xf numFmtId="0" fontId="2" fillId="24" borderId="0" xfId="0" applyFont="1" applyFill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177" fontId="2" fillId="0" borderId="0" xfId="0" applyNumberFormat="1" applyFont="1" applyAlignment="1">
      <alignment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7" fillId="0" borderId="10" xfId="75" applyNumberFormat="1" applyFont="1" applyFill="1" applyBorder="1" applyAlignment="1" applyProtection="1">
      <alignment horizontal="center" vertical="center" wrapText="1"/>
      <protection/>
    </xf>
    <xf numFmtId="178" fontId="34" fillId="0" borderId="10" xfId="0" applyNumberFormat="1" applyFont="1" applyFill="1" applyBorder="1" applyAlignment="1" applyProtection="1">
      <alignment horizontal="left" vertical="center" wrapText="1"/>
      <protection/>
    </xf>
    <xf numFmtId="177" fontId="34" fillId="0" borderId="10" xfId="0" applyNumberFormat="1" applyFont="1" applyFill="1" applyBorder="1" applyAlignment="1" applyProtection="1">
      <alignment horizontal="left" vertical="center" wrapText="1"/>
      <protection/>
    </xf>
    <xf numFmtId="177" fontId="34" fillId="0" borderId="10" xfId="0" applyNumberFormat="1" applyFont="1" applyFill="1" applyBorder="1" applyAlignment="1" applyProtection="1">
      <alignment horizontal="center" vertical="center" wrapText="1"/>
      <protection/>
    </xf>
    <xf numFmtId="177" fontId="34" fillId="0" borderId="10" xfId="0" applyNumberFormat="1" applyFont="1" applyFill="1" applyBorder="1" applyAlignment="1" applyProtection="1">
      <alignment horizontal="right" vertical="center" wrapText="1"/>
      <protection/>
    </xf>
    <xf numFmtId="178" fontId="7" fillId="24" borderId="10" xfId="75" applyNumberFormat="1" applyFont="1" applyFill="1" applyBorder="1" applyAlignment="1" applyProtection="1">
      <alignment horizontal="left" vertical="center" wrapText="1"/>
      <protection/>
    </xf>
    <xf numFmtId="0" fontId="5" fillId="24" borderId="10" xfId="0" applyFont="1" applyFill="1" applyBorder="1" applyAlignment="1">
      <alignment horizontal="left" vertical="center" wrapText="1"/>
    </xf>
    <xf numFmtId="177" fontId="35" fillId="24" borderId="10" xfId="0" applyNumberFormat="1" applyFont="1" applyFill="1" applyBorder="1" applyAlignment="1">
      <alignment horizontal="right" vertical="center"/>
    </xf>
    <xf numFmtId="177" fontId="34" fillId="24" borderId="10" xfId="66" applyNumberFormat="1" applyFont="1" applyFill="1" applyBorder="1" applyAlignment="1" applyProtection="1">
      <alignment horizontal="right" vertical="center" wrapText="1"/>
      <protection/>
    </xf>
    <xf numFmtId="177" fontId="34" fillId="24" borderId="10" xfId="67" applyNumberFormat="1" applyFont="1" applyFill="1" applyBorder="1" applyAlignment="1" applyProtection="1">
      <alignment horizontal="right" vertical="center" wrapText="1"/>
      <protection/>
    </xf>
    <xf numFmtId="0" fontId="7" fillId="24" borderId="10" xfId="65" applyNumberFormat="1" applyFont="1" applyFill="1" applyBorder="1" applyAlignment="1" applyProtection="1">
      <alignment horizontal="center" vertical="center" wrapText="1"/>
      <protection/>
    </xf>
    <xf numFmtId="0" fontId="7" fillId="24" borderId="10" xfId="75" applyNumberFormat="1" applyFont="1" applyFill="1" applyBorder="1" applyAlignment="1" applyProtection="1">
      <alignment horizontal="left" vertical="center" wrapText="1"/>
      <protection/>
    </xf>
    <xf numFmtId="177" fontId="34" fillId="24" borderId="10" xfId="0" applyNumberFormat="1" applyFont="1" applyFill="1" applyBorder="1" applyAlignment="1">
      <alignment horizontal="right" vertical="center"/>
    </xf>
    <xf numFmtId="177" fontId="3" fillId="0" borderId="10" xfId="0" applyNumberFormat="1" applyFont="1" applyBorder="1" applyAlignment="1">
      <alignment horizontal="center" vertical="center" wrapText="1"/>
    </xf>
    <xf numFmtId="177" fontId="2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177" fontId="34" fillId="24" borderId="10" xfId="0" applyNumberFormat="1" applyFont="1" applyFill="1" applyBorder="1" applyAlignment="1">
      <alignment horizontal="right" vertical="center" wrapText="1"/>
    </xf>
    <xf numFmtId="0" fontId="0" fillId="0" borderId="0" xfId="0" applyAlignment="1">
      <alignment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10" fontId="2" fillId="0" borderId="18" xfId="0" applyNumberFormat="1" applyFont="1" applyBorder="1" applyAlignment="1">
      <alignment horizontal="center" vertical="center" wrapText="1"/>
    </xf>
    <xf numFmtId="177" fontId="2" fillId="0" borderId="18" xfId="0" applyNumberFormat="1" applyFont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177" fontId="2" fillId="0" borderId="18" xfId="0" applyNumberFormat="1" applyFont="1" applyFill="1" applyBorder="1" applyAlignment="1">
      <alignment horizontal="center" vertical="center" wrapText="1"/>
    </xf>
    <xf numFmtId="177" fontId="2" fillId="0" borderId="11" xfId="0" applyNumberFormat="1" applyFont="1" applyBorder="1" applyAlignment="1">
      <alignment horizontal="center" vertical="center" wrapText="1"/>
    </xf>
    <xf numFmtId="177" fontId="2" fillId="0" borderId="14" xfId="0" applyNumberFormat="1" applyFont="1" applyBorder="1" applyAlignment="1">
      <alignment horizontal="center" vertical="center" wrapText="1"/>
    </xf>
    <xf numFmtId="0" fontId="2" fillId="0" borderId="18" xfId="0" applyFont="1" applyBorder="1" applyAlignment="1">
      <alignment horizontal="right" vertical="center" wrapText="1"/>
    </xf>
    <xf numFmtId="10" fontId="2" fillId="0" borderId="18" xfId="0" applyNumberFormat="1" applyFont="1" applyBorder="1" applyAlignment="1">
      <alignment horizontal="right" vertical="center" wrapText="1"/>
    </xf>
    <xf numFmtId="0" fontId="0" fillId="0" borderId="0" xfId="0" applyAlignment="1">
      <alignment horizontal="center" vertical="center" wrapText="1"/>
    </xf>
    <xf numFmtId="177" fontId="0" fillId="0" borderId="0" xfId="0" applyNumberFormat="1" applyAlignment="1">
      <alignment vertical="center"/>
    </xf>
    <xf numFmtId="177" fontId="3" fillId="0" borderId="11" xfId="0" applyNumberFormat="1" applyFont="1" applyBorder="1" applyAlignment="1">
      <alignment horizontal="center" vertical="center" wrapText="1"/>
    </xf>
    <xf numFmtId="177" fontId="3" fillId="0" borderId="12" xfId="0" applyNumberFormat="1" applyFont="1" applyBorder="1" applyAlignment="1">
      <alignment horizontal="center" vertical="center" wrapText="1"/>
    </xf>
    <xf numFmtId="177" fontId="2" fillId="0" borderId="12" xfId="0" applyNumberFormat="1" applyFont="1" applyBorder="1" applyAlignment="1">
      <alignment horizontal="center" vertical="center" wrapText="1"/>
    </xf>
    <xf numFmtId="177" fontId="2" fillId="0" borderId="19" xfId="0" applyNumberFormat="1" applyFont="1" applyBorder="1" applyAlignment="1">
      <alignment horizontal="center" vertical="center" wrapText="1"/>
    </xf>
    <xf numFmtId="177" fontId="2" fillId="0" borderId="20" xfId="0" applyNumberFormat="1" applyFont="1" applyBorder="1" applyAlignment="1">
      <alignment horizontal="center" vertical="center" wrapText="1"/>
    </xf>
    <xf numFmtId="177" fontId="2" fillId="0" borderId="21" xfId="0" applyNumberFormat="1" applyFont="1" applyBorder="1" applyAlignment="1">
      <alignment horizontal="center" vertical="center" wrapText="1"/>
    </xf>
    <xf numFmtId="177" fontId="2" fillId="0" borderId="16" xfId="0" applyNumberFormat="1" applyFont="1" applyBorder="1" applyAlignment="1">
      <alignment horizontal="center" vertical="center" wrapText="1"/>
    </xf>
    <xf numFmtId="177" fontId="2" fillId="0" borderId="13" xfId="0" applyNumberFormat="1" applyFont="1" applyBorder="1" applyAlignment="1">
      <alignment horizontal="center" vertical="center" wrapText="1"/>
    </xf>
    <xf numFmtId="177" fontId="2" fillId="0" borderId="25" xfId="0" applyNumberFormat="1" applyFont="1" applyBorder="1" applyAlignment="1">
      <alignment horizontal="center" vertical="center" wrapText="1"/>
    </xf>
    <xf numFmtId="177" fontId="2" fillId="0" borderId="26" xfId="0" applyNumberFormat="1" applyFont="1" applyBorder="1" applyAlignment="1">
      <alignment horizontal="center" vertical="center" wrapText="1"/>
    </xf>
    <xf numFmtId="177" fontId="2" fillId="0" borderId="17" xfId="0" applyNumberFormat="1" applyFont="1" applyBorder="1" applyAlignment="1">
      <alignment horizontal="center" vertical="center" wrapText="1"/>
    </xf>
    <xf numFmtId="177" fontId="2" fillId="0" borderId="18" xfId="0" applyNumberFormat="1" applyFont="1" applyFill="1" applyBorder="1" applyAlignment="1">
      <alignment horizontal="right" vertical="center" wrapText="1"/>
    </xf>
    <xf numFmtId="10" fontId="2" fillId="0" borderId="18" xfId="0" applyNumberFormat="1" applyFont="1" applyFill="1" applyBorder="1" applyAlignment="1">
      <alignment horizontal="right" vertical="center" wrapText="1"/>
    </xf>
    <xf numFmtId="177" fontId="2" fillId="0" borderId="15" xfId="0" applyNumberFormat="1" applyFont="1" applyBorder="1" applyAlignment="1">
      <alignment horizontal="center" vertical="center" wrapText="1"/>
    </xf>
    <xf numFmtId="177" fontId="3" fillId="0" borderId="14" xfId="0" applyNumberFormat="1" applyFont="1" applyBorder="1" applyAlignment="1">
      <alignment horizontal="center" vertical="center" wrapText="1"/>
    </xf>
    <xf numFmtId="177" fontId="2" fillId="0" borderId="11" xfId="0" applyNumberFormat="1" applyFont="1" applyBorder="1" applyAlignment="1">
      <alignment horizontal="right" vertical="center" wrapText="1"/>
    </xf>
    <xf numFmtId="177" fontId="2" fillId="0" borderId="14" xfId="0" applyNumberFormat="1" applyFont="1" applyBorder="1" applyAlignment="1">
      <alignment horizontal="right" vertical="center" wrapText="1"/>
    </xf>
    <xf numFmtId="177" fontId="2" fillId="0" borderId="18" xfId="0" applyNumberFormat="1" applyFont="1" applyBorder="1" applyAlignment="1">
      <alignment horizontal="right" vertical="center" wrapText="1"/>
    </xf>
    <xf numFmtId="177" fontId="2" fillId="0" borderId="18" xfId="0" applyNumberFormat="1" applyFont="1" applyBorder="1" applyAlignment="1">
      <alignment horizontal="left" vertical="center" wrapText="1"/>
    </xf>
    <xf numFmtId="177" fontId="2" fillId="0" borderId="11" xfId="0" applyNumberFormat="1" applyFont="1" applyFill="1" applyBorder="1" applyAlignment="1">
      <alignment horizontal="right" vertical="center" wrapText="1"/>
    </xf>
    <xf numFmtId="177" fontId="2" fillId="0" borderId="14" xfId="0" applyNumberFormat="1" applyFont="1" applyFill="1" applyBorder="1" applyAlignment="1">
      <alignment horizontal="right" vertical="center" wrapText="1"/>
    </xf>
    <xf numFmtId="177" fontId="2" fillId="0" borderId="13" xfId="0" applyNumberFormat="1" applyFont="1" applyFill="1" applyBorder="1" applyAlignment="1">
      <alignment horizontal="left" vertical="center" wrapText="1"/>
    </xf>
    <xf numFmtId="177" fontId="2" fillId="0" borderId="15" xfId="0" applyNumberFormat="1" applyFont="1" applyFill="1" applyBorder="1" applyAlignment="1">
      <alignment horizontal="left" vertical="center" wrapText="1"/>
    </xf>
    <xf numFmtId="177" fontId="2" fillId="0" borderId="17" xfId="0" applyNumberFormat="1" applyFont="1" applyFill="1" applyBorder="1" applyAlignment="1">
      <alignment horizontal="left" vertical="center" wrapText="1"/>
    </xf>
    <xf numFmtId="177" fontId="2" fillId="0" borderId="18" xfId="0" applyNumberFormat="1" applyFont="1" applyFill="1" applyBorder="1" applyAlignment="1">
      <alignment horizontal="left" vertical="center" wrapText="1"/>
    </xf>
    <xf numFmtId="177" fontId="0" fillId="0" borderId="0" xfId="0" applyNumberFormat="1" applyBorder="1" applyAlignment="1">
      <alignment vertical="center"/>
    </xf>
    <xf numFmtId="177" fontId="7" fillId="0" borderId="0" xfId="0" applyNumberFormat="1" applyFont="1" applyAlignment="1">
      <alignment vertical="center"/>
    </xf>
    <xf numFmtId="177" fontId="2" fillId="0" borderId="0" xfId="0" applyNumberFormat="1" applyFont="1" applyBorder="1" applyAlignment="1">
      <alignment vertical="center" wrapText="1"/>
    </xf>
    <xf numFmtId="177" fontId="0" fillId="0" borderId="0" xfId="0" applyNumberFormat="1" applyFont="1" applyFill="1" applyAlignment="1">
      <alignment horizontal="center" vertical="center" wrapText="1"/>
    </xf>
    <xf numFmtId="177" fontId="0" fillId="0" borderId="0" xfId="0" applyNumberFormat="1" applyFill="1" applyAlignment="1">
      <alignment horizontal="center" vertical="center" wrapText="1"/>
    </xf>
    <xf numFmtId="177" fontId="3" fillId="0" borderId="11" xfId="0" applyNumberFormat="1" applyFont="1" applyFill="1" applyBorder="1" applyAlignment="1">
      <alignment horizontal="center" vertical="center" wrapText="1"/>
    </xf>
    <xf numFmtId="177" fontId="3" fillId="0" borderId="12" xfId="0" applyNumberFormat="1" applyFont="1" applyFill="1" applyBorder="1" applyAlignment="1">
      <alignment horizontal="center" vertical="center" wrapText="1"/>
    </xf>
    <xf numFmtId="177" fontId="2" fillId="0" borderId="19" xfId="0" applyNumberFormat="1" applyFont="1" applyFill="1" applyBorder="1" applyAlignment="1">
      <alignment horizontal="center" vertical="center" wrapText="1"/>
    </xf>
    <xf numFmtId="177" fontId="2" fillId="0" borderId="21" xfId="0" applyNumberFormat="1" applyFont="1" applyFill="1" applyBorder="1" applyAlignment="1">
      <alignment horizontal="center" vertical="center" wrapText="1"/>
    </xf>
    <xf numFmtId="177" fontId="2" fillId="0" borderId="11" xfId="0" applyNumberFormat="1" applyFont="1" applyFill="1" applyBorder="1" applyAlignment="1">
      <alignment horizontal="center" vertical="center" wrapText="1"/>
    </xf>
    <xf numFmtId="177" fontId="2" fillId="0" borderId="12" xfId="0" applyNumberFormat="1" applyFont="1" applyFill="1" applyBorder="1" applyAlignment="1">
      <alignment horizontal="center" vertical="center" wrapText="1"/>
    </xf>
    <xf numFmtId="177" fontId="2" fillId="0" borderId="14" xfId="0" applyNumberFormat="1" applyFont="1" applyFill="1" applyBorder="1" applyAlignment="1">
      <alignment horizontal="center" vertical="center" wrapText="1"/>
    </xf>
    <xf numFmtId="177" fontId="2" fillId="0" borderId="27" xfId="0" applyNumberFormat="1" applyFont="1" applyFill="1" applyBorder="1" applyAlignment="1">
      <alignment horizontal="center" vertical="center" wrapText="1"/>
    </xf>
    <xf numFmtId="177" fontId="2" fillId="0" borderId="16" xfId="0" applyNumberFormat="1" applyFont="1" applyFill="1" applyBorder="1" applyAlignment="1">
      <alignment horizontal="center" vertical="center" wrapText="1"/>
    </xf>
    <xf numFmtId="177" fontId="2" fillId="0" borderId="13" xfId="0" applyNumberFormat="1" applyFont="1" applyFill="1" applyBorder="1" applyAlignment="1">
      <alignment horizontal="center" vertical="center" wrapText="1"/>
    </xf>
    <xf numFmtId="177" fontId="2" fillId="0" borderId="25" xfId="0" applyNumberFormat="1" applyFont="1" applyFill="1" applyBorder="1" applyAlignment="1">
      <alignment horizontal="center" vertical="center" wrapText="1"/>
    </xf>
    <xf numFmtId="177" fontId="2" fillId="0" borderId="17" xfId="0" applyNumberFormat="1" applyFont="1" applyFill="1" applyBorder="1" applyAlignment="1">
      <alignment horizontal="center" vertical="center" wrapText="1"/>
    </xf>
    <xf numFmtId="10" fontId="2" fillId="0" borderId="11" xfId="0" applyNumberFormat="1" applyFont="1" applyFill="1" applyBorder="1" applyAlignment="1">
      <alignment horizontal="center" vertical="center" wrapText="1"/>
    </xf>
    <xf numFmtId="10" fontId="2" fillId="0" borderId="14" xfId="0" applyNumberFormat="1" applyFont="1" applyFill="1" applyBorder="1" applyAlignment="1">
      <alignment horizontal="center" vertical="center" wrapText="1"/>
    </xf>
    <xf numFmtId="177" fontId="2" fillId="0" borderId="15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179" fontId="2" fillId="0" borderId="11" xfId="0" applyNumberFormat="1" applyFont="1" applyFill="1" applyBorder="1" applyAlignment="1">
      <alignment horizontal="center" vertical="center" wrapText="1"/>
    </xf>
    <xf numFmtId="179" fontId="2" fillId="0" borderId="12" xfId="0" applyNumberFormat="1" applyFont="1" applyFill="1" applyBorder="1" applyAlignment="1">
      <alignment horizontal="center" vertical="center" wrapText="1"/>
    </xf>
    <xf numFmtId="179" fontId="2" fillId="0" borderId="14" xfId="0" applyNumberFormat="1" applyFont="1" applyFill="1" applyBorder="1" applyAlignment="1">
      <alignment horizontal="center" vertical="center" wrapText="1"/>
    </xf>
    <xf numFmtId="177" fontId="2" fillId="0" borderId="20" xfId="0" applyNumberFormat="1" applyFont="1" applyFill="1" applyBorder="1" applyAlignment="1">
      <alignment horizontal="center" vertical="center" wrapText="1"/>
    </xf>
    <xf numFmtId="179" fontId="2" fillId="0" borderId="19" xfId="0" applyNumberFormat="1" applyFont="1" applyFill="1" applyBorder="1" applyAlignment="1">
      <alignment horizontal="center" vertical="center" wrapText="1"/>
    </xf>
    <xf numFmtId="179" fontId="2" fillId="0" borderId="20" xfId="0" applyNumberFormat="1" applyFont="1" applyFill="1" applyBorder="1" applyAlignment="1">
      <alignment horizontal="center" vertical="center" wrapText="1"/>
    </xf>
    <xf numFmtId="179" fontId="2" fillId="0" borderId="21" xfId="0" applyNumberFormat="1" applyFont="1" applyFill="1" applyBorder="1" applyAlignment="1">
      <alignment horizontal="center" vertical="center" wrapText="1"/>
    </xf>
    <xf numFmtId="177" fontId="2" fillId="0" borderId="26" xfId="0" applyNumberFormat="1" applyFont="1" applyFill="1" applyBorder="1" applyAlignment="1">
      <alignment horizontal="center" vertical="center" wrapText="1"/>
    </xf>
    <xf numFmtId="179" fontId="2" fillId="0" borderId="25" xfId="0" applyNumberFormat="1" applyFont="1" applyFill="1" applyBorder="1" applyAlignment="1">
      <alignment horizontal="center" vertical="center" wrapText="1"/>
    </xf>
    <xf numFmtId="179" fontId="2" fillId="0" borderId="26" xfId="0" applyNumberFormat="1" applyFont="1" applyFill="1" applyBorder="1" applyAlignment="1">
      <alignment horizontal="center" vertical="center" wrapText="1"/>
    </xf>
    <xf numFmtId="179" fontId="2" fillId="0" borderId="18" xfId="0" applyNumberFormat="1" applyFont="1" applyFill="1" applyBorder="1" applyAlignment="1">
      <alignment horizontal="center" vertical="center" wrapText="1"/>
    </xf>
    <xf numFmtId="177" fontId="11" fillId="0" borderId="11" xfId="0" applyNumberFormat="1" applyFont="1" applyFill="1" applyBorder="1" applyAlignment="1">
      <alignment horizontal="left" vertical="center" wrapText="1"/>
    </xf>
    <xf numFmtId="179" fontId="2" fillId="0" borderId="16" xfId="0" applyNumberFormat="1" applyFont="1" applyFill="1" applyBorder="1" applyAlignment="1">
      <alignment horizontal="center" vertical="center" wrapText="1"/>
    </xf>
    <xf numFmtId="177" fontId="3" fillId="0" borderId="14" xfId="0" applyNumberFormat="1" applyFont="1" applyFill="1" applyBorder="1" applyAlignment="1">
      <alignment horizontal="center" vertical="center" wrapText="1"/>
    </xf>
    <xf numFmtId="177" fontId="11" fillId="0" borderId="14" xfId="0" applyNumberFormat="1" applyFont="1" applyFill="1" applyBorder="1" applyAlignment="1">
      <alignment horizontal="left" vertical="center" wrapText="1"/>
    </xf>
    <xf numFmtId="179" fontId="2" fillId="0" borderId="13" xfId="0" applyNumberFormat="1" applyFont="1" applyFill="1" applyBorder="1" applyAlignment="1">
      <alignment horizontal="center" vertical="center" wrapText="1"/>
    </xf>
    <xf numFmtId="179" fontId="2" fillId="0" borderId="17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49" fontId="2" fillId="0" borderId="18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</cellXfs>
  <cellStyles count="62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ColLevel_1" xfId="63"/>
    <cellStyle name="RowLevel_1" xfId="64"/>
    <cellStyle name="常规 10" xfId="65"/>
    <cellStyle name="常规 11" xfId="66"/>
    <cellStyle name="常规 12" xfId="67"/>
    <cellStyle name="常规 2" xfId="68"/>
    <cellStyle name="常规 3" xfId="69"/>
    <cellStyle name="常规 4" xfId="70"/>
    <cellStyle name="常规 5" xfId="71"/>
    <cellStyle name="常规 6" xfId="72"/>
    <cellStyle name="常规 7" xfId="73"/>
    <cellStyle name="常规 8" xfId="74"/>
    <cellStyle name="常规 9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SheetLayoutView="4" colorId="0"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7"/>
  <sheetViews>
    <sheetView workbookViewId="0" topLeftCell="A22">
      <selection activeCell="D8" sqref="D8"/>
    </sheetView>
  </sheetViews>
  <sheetFormatPr defaultColWidth="9.00390625" defaultRowHeight="51" customHeight="1"/>
  <cols>
    <col min="1" max="1" width="9.00390625" style="139" customWidth="1"/>
    <col min="2" max="2" width="26.25390625" style="139" customWidth="1"/>
    <col min="3" max="3" width="12.875" style="139" customWidth="1"/>
    <col min="4" max="4" width="21.00390625" style="139" customWidth="1"/>
    <col min="5" max="7" width="9.00390625" style="139" customWidth="1"/>
    <col min="8" max="8" width="24.75390625" style="139" customWidth="1"/>
    <col min="9" max="32" width="9.00390625" style="139" customWidth="1"/>
    <col min="33" max="16384" width="8.75390625" style="139" bestFit="1" customWidth="1"/>
  </cols>
  <sheetData>
    <row r="1" spans="1:8" ht="27" customHeight="1">
      <c r="A1" s="140" t="s">
        <v>0</v>
      </c>
      <c r="B1" s="141"/>
      <c r="C1" s="141"/>
      <c r="D1" s="141"/>
      <c r="E1" s="141"/>
      <c r="F1" s="141"/>
      <c r="G1" s="141"/>
      <c r="H1" s="142"/>
    </row>
    <row r="2" spans="1:8" ht="30" customHeight="1">
      <c r="A2" s="143" t="s">
        <v>1</v>
      </c>
      <c r="B2" s="120" t="s">
        <v>2</v>
      </c>
      <c r="C2" s="144"/>
      <c r="D2" s="121"/>
      <c r="E2" s="120" t="s">
        <v>3</v>
      </c>
      <c r="F2" s="121"/>
      <c r="G2" s="120" t="s">
        <v>4</v>
      </c>
      <c r="H2" s="121"/>
    </row>
    <row r="3" spans="1:8" ht="30" customHeight="1">
      <c r="A3" s="143" t="s">
        <v>5</v>
      </c>
      <c r="B3" s="120" t="s">
        <v>6</v>
      </c>
      <c r="C3" s="121"/>
      <c r="D3" s="67" t="s">
        <v>7</v>
      </c>
      <c r="E3" s="120" t="s">
        <v>8</v>
      </c>
      <c r="F3" s="144"/>
      <c r="G3" s="144"/>
      <c r="H3" s="121"/>
    </row>
    <row r="4" spans="1:8" ht="30" customHeight="1">
      <c r="A4" s="143" t="s">
        <v>9</v>
      </c>
      <c r="B4" s="120" t="s">
        <v>10</v>
      </c>
      <c r="C4" s="121"/>
      <c r="D4" s="67" t="s">
        <v>11</v>
      </c>
      <c r="E4" s="120" t="s">
        <v>12</v>
      </c>
      <c r="F4" s="144"/>
      <c r="G4" s="144"/>
      <c r="H4" s="121"/>
    </row>
    <row r="5" spans="1:8" ht="30" customHeight="1">
      <c r="A5" s="143" t="s">
        <v>13</v>
      </c>
      <c r="B5" s="145" t="s">
        <v>14</v>
      </c>
      <c r="C5" s="67" t="s">
        <v>15</v>
      </c>
      <c r="D5" s="145" t="s">
        <v>16</v>
      </c>
      <c r="E5" s="67" t="s">
        <v>17</v>
      </c>
      <c r="F5" s="67">
        <v>240</v>
      </c>
      <c r="G5" s="67" t="s">
        <v>18</v>
      </c>
      <c r="H5" s="67">
        <v>666</v>
      </c>
    </row>
    <row r="6" spans="1:8" ht="30" customHeight="1">
      <c r="A6" s="143" t="s">
        <v>19</v>
      </c>
      <c r="B6" s="67" t="s">
        <v>20</v>
      </c>
      <c r="C6" s="67" t="s">
        <v>21</v>
      </c>
      <c r="D6" s="67" t="s">
        <v>22</v>
      </c>
      <c r="E6" s="120" t="s">
        <v>23</v>
      </c>
      <c r="F6" s="121"/>
      <c r="G6" s="120">
        <v>15718.6</v>
      </c>
      <c r="H6" s="121"/>
    </row>
    <row r="7" spans="1:8" ht="30" customHeight="1">
      <c r="A7" s="143" t="s">
        <v>24</v>
      </c>
      <c r="B7" s="67" t="s">
        <v>25</v>
      </c>
      <c r="C7" s="67" t="s">
        <v>26</v>
      </c>
      <c r="D7" s="67" t="s">
        <v>27</v>
      </c>
      <c r="E7" s="120" t="s">
        <v>28</v>
      </c>
      <c r="F7" s="121"/>
      <c r="G7" s="120">
        <v>22.2</v>
      </c>
      <c r="H7" s="121"/>
    </row>
    <row r="8" spans="1:8" ht="30" customHeight="1">
      <c r="A8" s="143" t="s">
        <v>29</v>
      </c>
      <c r="B8" s="67" t="s">
        <v>30</v>
      </c>
      <c r="C8" s="67" t="s">
        <v>31</v>
      </c>
      <c r="D8" s="67" t="s">
        <v>32</v>
      </c>
      <c r="E8" s="120" t="s">
        <v>33</v>
      </c>
      <c r="F8" s="121"/>
      <c r="G8" s="120" t="s">
        <v>34</v>
      </c>
      <c r="H8" s="121"/>
    </row>
    <row r="9" spans="1:8" ht="30" customHeight="1">
      <c r="A9" s="120" t="s">
        <v>35</v>
      </c>
      <c r="B9" s="144"/>
      <c r="C9" s="144"/>
      <c r="D9" s="144"/>
      <c r="E9" s="144"/>
      <c r="F9" s="144"/>
      <c r="G9" s="144"/>
      <c r="H9" s="121"/>
    </row>
    <row r="10" spans="1:8" ht="51" customHeight="1">
      <c r="A10" s="143" t="s">
        <v>36</v>
      </c>
      <c r="B10" s="146" t="s">
        <v>37</v>
      </c>
      <c r="C10" s="147"/>
      <c r="D10" s="67" t="s">
        <v>38</v>
      </c>
      <c r="E10" s="146" t="s">
        <v>39</v>
      </c>
      <c r="F10" s="148"/>
      <c r="G10" s="148"/>
      <c r="H10" s="147"/>
    </row>
    <row r="11" spans="1:8" ht="75" customHeight="1">
      <c r="A11" s="143" t="s">
        <v>40</v>
      </c>
      <c r="B11" s="146" t="s">
        <v>41</v>
      </c>
      <c r="C11" s="147"/>
      <c r="D11" s="67" t="s">
        <v>42</v>
      </c>
      <c r="E11" s="146" t="s">
        <v>43</v>
      </c>
      <c r="F11" s="148"/>
      <c r="G11" s="148"/>
      <c r="H11" s="147"/>
    </row>
    <row r="12" spans="1:8" ht="69" customHeight="1">
      <c r="A12" s="143" t="s">
        <v>44</v>
      </c>
      <c r="B12" s="146" t="s">
        <v>45</v>
      </c>
      <c r="C12" s="147"/>
      <c r="D12" s="67" t="s">
        <v>46</v>
      </c>
      <c r="E12" s="146" t="s">
        <v>47</v>
      </c>
      <c r="F12" s="148"/>
      <c r="G12" s="148"/>
      <c r="H12" s="147"/>
    </row>
    <row r="13" spans="1:8" ht="51" customHeight="1">
      <c r="A13" s="143" t="s">
        <v>48</v>
      </c>
      <c r="B13" s="146" t="s">
        <v>49</v>
      </c>
      <c r="C13" s="147"/>
      <c r="D13" s="67" t="s">
        <v>50</v>
      </c>
      <c r="E13" s="146" t="s">
        <v>51</v>
      </c>
      <c r="F13" s="148"/>
      <c r="G13" s="148"/>
      <c r="H13" s="147"/>
    </row>
    <row r="14" spans="1:8" ht="279.75" customHeight="1">
      <c r="A14" s="143" t="s">
        <v>52</v>
      </c>
      <c r="B14" s="146" t="s">
        <v>53</v>
      </c>
      <c r="C14" s="147"/>
      <c r="D14" s="67" t="s">
        <v>54</v>
      </c>
      <c r="E14" s="146" t="s">
        <v>55</v>
      </c>
      <c r="F14" s="148"/>
      <c r="G14" s="148"/>
      <c r="H14" s="147"/>
    </row>
    <row r="15" spans="1:8" ht="216.75" customHeight="1">
      <c r="A15" s="143" t="s">
        <v>56</v>
      </c>
      <c r="B15" s="146" t="s">
        <v>57</v>
      </c>
      <c r="C15" s="147"/>
      <c r="D15" s="67" t="s">
        <v>58</v>
      </c>
      <c r="E15" s="146" t="s">
        <v>59</v>
      </c>
      <c r="F15" s="148"/>
      <c r="G15" s="148"/>
      <c r="H15" s="147"/>
    </row>
    <row r="16" spans="1:8" ht="192.75" customHeight="1">
      <c r="A16" s="143" t="s">
        <v>60</v>
      </c>
      <c r="B16" s="146" t="s">
        <v>61</v>
      </c>
      <c r="C16" s="147"/>
      <c r="D16" s="67" t="s">
        <v>62</v>
      </c>
      <c r="E16" s="146" t="s">
        <v>63</v>
      </c>
      <c r="F16" s="148"/>
      <c r="G16" s="148"/>
      <c r="H16" s="147"/>
    </row>
    <row r="17" spans="1:8" ht="51" customHeight="1">
      <c r="A17" s="143" t="s">
        <v>64</v>
      </c>
      <c r="B17" s="146" t="s">
        <v>65</v>
      </c>
      <c r="C17" s="147"/>
      <c r="D17" s="67"/>
      <c r="E17" s="146"/>
      <c r="F17" s="148"/>
      <c r="G17" s="148"/>
      <c r="H17" s="147"/>
    </row>
  </sheetData>
  <sheetProtection/>
  <mergeCells count="31">
    <mergeCell ref="A1:H1"/>
    <mergeCell ref="B2:D2"/>
    <mergeCell ref="E2:F2"/>
    <mergeCell ref="G2:H2"/>
    <mergeCell ref="B3:C3"/>
    <mergeCell ref="E3:H3"/>
    <mergeCell ref="B4:C4"/>
    <mergeCell ref="E4:H4"/>
    <mergeCell ref="E6:F6"/>
    <mergeCell ref="G6:H6"/>
    <mergeCell ref="E7:F7"/>
    <mergeCell ref="G7:H7"/>
    <mergeCell ref="E8:F8"/>
    <mergeCell ref="G8:H8"/>
    <mergeCell ref="A9:H9"/>
    <mergeCell ref="B10:C10"/>
    <mergeCell ref="E10:H10"/>
    <mergeCell ref="B11:C11"/>
    <mergeCell ref="E11:H11"/>
    <mergeCell ref="B12:C12"/>
    <mergeCell ref="E12:H12"/>
    <mergeCell ref="B13:C13"/>
    <mergeCell ref="E13:H13"/>
    <mergeCell ref="B14:C14"/>
    <mergeCell ref="E14:H14"/>
    <mergeCell ref="B15:C15"/>
    <mergeCell ref="E15:H15"/>
    <mergeCell ref="B16:C16"/>
    <mergeCell ref="E16:H16"/>
    <mergeCell ref="B17:C17"/>
    <mergeCell ref="E17:H17"/>
  </mergeCells>
  <printOptions/>
  <pageMargins left="0.75" right="0.75" top="1" bottom="1" header="0.5" footer="0.5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3"/>
  <sheetViews>
    <sheetView workbookViewId="0" topLeftCell="A1">
      <selection activeCell="J6" sqref="J6:J8"/>
    </sheetView>
  </sheetViews>
  <sheetFormatPr defaultColWidth="9.00390625" defaultRowHeight="14.25"/>
  <cols>
    <col min="1" max="4" width="9.00390625" style="104" customWidth="1"/>
    <col min="5" max="5" width="12.75390625" style="104" bestFit="1" customWidth="1"/>
    <col min="6" max="6" width="15.00390625" style="104" customWidth="1"/>
    <col min="7" max="8" width="12.75390625" style="104" bestFit="1" customWidth="1"/>
    <col min="9" max="12" width="9.00390625" style="104" customWidth="1"/>
    <col min="13" max="13" width="15.875" style="104" customWidth="1"/>
    <col min="14" max="14" width="9.875" style="104" customWidth="1"/>
    <col min="15" max="32" width="9.00390625" style="104" customWidth="1"/>
    <col min="33" max="16384" width="8.75390625" style="104" bestFit="1" customWidth="1"/>
  </cols>
  <sheetData>
    <row r="1" spans="1:17" ht="15">
      <c r="A1" s="105" t="s">
        <v>66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35"/>
    </row>
    <row r="2" spans="1:17" ht="15">
      <c r="A2" s="107" t="s">
        <v>67</v>
      </c>
      <c r="B2" s="108"/>
      <c r="C2" s="109" t="s">
        <v>68</v>
      </c>
      <c r="D2" s="110"/>
      <c r="E2" s="110"/>
      <c r="F2" s="110"/>
      <c r="G2" s="111"/>
      <c r="H2" s="109" t="s">
        <v>69</v>
      </c>
      <c r="I2" s="110"/>
      <c r="J2" s="110"/>
      <c r="K2" s="110"/>
      <c r="L2" s="111"/>
      <c r="M2" s="109" t="s">
        <v>70</v>
      </c>
      <c r="N2" s="110"/>
      <c r="O2" s="111"/>
      <c r="P2" s="107" t="s">
        <v>71</v>
      </c>
      <c r="Q2" s="108"/>
    </row>
    <row r="3" spans="1:17" ht="14.25">
      <c r="A3" s="112"/>
      <c r="B3" s="113"/>
      <c r="C3" s="107" t="s">
        <v>72</v>
      </c>
      <c r="D3" s="108"/>
      <c r="E3" s="114" t="s">
        <v>73</v>
      </c>
      <c r="F3" s="107" t="s">
        <v>74</v>
      </c>
      <c r="G3" s="108"/>
      <c r="H3" s="107" t="s">
        <v>72</v>
      </c>
      <c r="I3" s="108"/>
      <c r="J3" s="114" t="s">
        <v>73</v>
      </c>
      <c r="K3" s="107" t="s">
        <v>74</v>
      </c>
      <c r="L3" s="108"/>
      <c r="M3" s="113" t="s">
        <v>75</v>
      </c>
      <c r="N3" s="113" t="s">
        <v>73</v>
      </c>
      <c r="O3" s="114" t="s">
        <v>76</v>
      </c>
      <c r="P3" s="112"/>
      <c r="Q3" s="113"/>
    </row>
    <row r="4" spans="1:17" ht="15">
      <c r="A4" s="115"/>
      <c r="B4" s="68"/>
      <c r="C4" s="115"/>
      <c r="D4" s="68"/>
      <c r="E4" s="116"/>
      <c r="F4" s="115"/>
      <c r="G4" s="68"/>
      <c r="H4" s="115"/>
      <c r="I4" s="68"/>
      <c r="J4" s="116"/>
      <c r="K4" s="115"/>
      <c r="L4" s="68"/>
      <c r="M4" s="68" t="s">
        <v>77</v>
      </c>
      <c r="N4" s="68" t="s">
        <v>77</v>
      </c>
      <c r="O4" s="116"/>
      <c r="P4" s="115"/>
      <c r="Q4" s="68"/>
    </row>
    <row r="5" spans="1:17" ht="15">
      <c r="A5" s="109" t="s">
        <v>72</v>
      </c>
      <c r="B5" s="111"/>
      <c r="C5" s="109">
        <f>SUM(C6:D9)</f>
        <v>60896884.309999995</v>
      </c>
      <c r="D5" s="111"/>
      <c r="E5" s="68">
        <f>C5/'工程概况'!G6</f>
        <v>3874.1926322954964</v>
      </c>
      <c r="F5" s="117">
        <f>C5/C5</f>
        <v>1</v>
      </c>
      <c r="G5" s="118"/>
      <c r="H5" s="109">
        <f>SUM(H6:I9)</f>
        <v>64415178.660000004</v>
      </c>
      <c r="I5" s="111"/>
      <c r="J5" s="68">
        <f>H5/'工程概况'!G6</f>
        <v>4098.022639420814</v>
      </c>
      <c r="K5" s="117">
        <f>H5/H5</f>
        <v>1</v>
      </c>
      <c r="L5" s="118"/>
      <c r="M5" s="68">
        <f>H5-C5</f>
        <v>3518294.350000009</v>
      </c>
      <c r="N5" s="68">
        <f>J5-E5</f>
        <v>223.83000712531748</v>
      </c>
      <c r="O5" s="117">
        <f>M5/C5</f>
        <v>0.05777461999681095</v>
      </c>
      <c r="P5" s="109"/>
      <c r="Q5" s="111"/>
    </row>
    <row r="6" spans="1:17" ht="60" customHeight="1">
      <c r="A6" s="114" t="s">
        <v>78</v>
      </c>
      <c r="B6" s="68" t="s">
        <v>79</v>
      </c>
      <c r="C6" s="109">
        <f>'建筑工程费用组成分析表'!E5+'建筑工程费用组成分析表'!E6</f>
        <v>31529102.119999994</v>
      </c>
      <c r="D6" s="111"/>
      <c r="E6" s="68">
        <f>C6/'工程概况'!G6</f>
        <v>2005.8467115391952</v>
      </c>
      <c r="F6" s="117">
        <f>C6/C5</f>
        <v>0.5177457348966955</v>
      </c>
      <c r="G6" s="118"/>
      <c r="H6" s="109">
        <f>'建筑工程费用组成分析表'!H5+'建筑工程费用组成分析表'!H6</f>
        <v>35897490.49</v>
      </c>
      <c r="I6" s="111"/>
      <c r="J6" s="68">
        <f>H6/'工程概况'!G6</f>
        <v>2283.758762866922</v>
      </c>
      <c r="K6" s="117">
        <f>H6/H5</f>
        <v>0.5572831006101256</v>
      </c>
      <c r="L6" s="118"/>
      <c r="M6" s="68">
        <f>H6-C6</f>
        <v>4368388.3700000085</v>
      </c>
      <c r="N6" s="68">
        <f>J6-E6</f>
        <v>277.9120513277269</v>
      </c>
      <c r="O6" s="117">
        <f>M6/C6</f>
        <v>0.13855099182253558</v>
      </c>
      <c r="P6" s="133" t="s">
        <v>80</v>
      </c>
      <c r="Q6" s="136"/>
    </row>
    <row r="7" spans="1:17" ht="69" customHeight="1">
      <c r="A7" s="119"/>
      <c r="B7" s="68" t="s">
        <v>81</v>
      </c>
      <c r="C7" s="109">
        <f>'建筑工程费用组成分析表'!E7</f>
        <v>9235780.89</v>
      </c>
      <c r="D7" s="111"/>
      <c r="E7" s="68">
        <f>C7/'工程概况'!G6</f>
        <v>587.570196455155</v>
      </c>
      <c r="F7" s="117">
        <f>C7/C5</f>
        <v>0.1516626177947724</v>
      </c>
      <c r="G7" s="118"/>
      <c r="H7" s="109">
        <f>'建筑工程费用组成分析表'!H7</f>
        <v>9384450.74</v>
      </c>
      <c r="I7" s="111"/>
      <c r="J7" s="68">
        <f>H7/'工程概况'!G6</f>
        <v>597.0284083824259</v>
      </c>
      <c r="K7" s="117">
        <f>H7/H5</f>
        <v>0.1456869473192578</v>
      </c>
      <c r="L7" s="118"/>
      <c r="M7" s="68">
        <f>H7-C7</f>
        <v>148669.84999999963</v>
      </c>
      <c r="N7" s="68">
        <f>J7-E7</f>
        <v>9.458211927270895</v>
      </c>
      <c r="O7" s="117">
        <f>M7/C7</f>
        <v>0.016097160789183645</v>
      </c>
      <c r="P7" s="133" t="s">
        <v>82</v>
      </c>
      <c r="Q7" s="136"/>
    </row>
    <row r="8" spans="1:17" s="103" customFormat="1" ht="26.25" customHeight="1">
      <c r="A8" s="119"/>
      <c r="B8" s="68" t="s">
        <v>46</v>
      </c>
      <c r="C8" s="120">
        <f>'安装工程费用组成分析表'!E21</f>
        <v>20132001.300000004</v>
      </c>
      <c r="D8" s="121"/>
      <c r="E8" s="68">
        <f>C8/'工程概况'!G6</f>
        <v>1280.7757243011467</v>
      </c>
      <c r="F8" s="117">
        <f>C8/C5</f>
        <v>0.3305916473085322</v>
      </c>
      <c r="G8" s="118"/>
      <c r="H8" s="120">
        <f>'安装工程费用组成分析表'!H21</f>
        <v>19133237.43</v>
      </c>
      <c r="I8" s="121"/>
      <c r="J8" s="68">
        <f>H8/'工程概况'!G6</f>
        <v>1217.2354681714655</v>
      </c>
      <c r="K8" s="117">
        <f>H8/H5</f>
        <v>0.2970299520706165</v>
      </c>
      <c r="L8" s="118"/>
      <c r="M8" s="68">
        <f>H8-C8</f>
        <v>-998763.8700000048</v>
      </c>
      <c r="N8" s="68">
        <f>J8-E8</f>
        <v>-63.54025612968121</v>
      </c>
      <c r="O8" s="117">
        <f>M8/C8</f>
        <v>-0.049610759264157436</v>
      </c>
      <c r="P8" s="133" t="s">
        <v>83</v>
      </c>
      <c r="Q8" s="136"/>
    </row>
    <row r="9" spans="1:17" ht="32.25" customHeight="1">
      <c r="A9" s="116"/>
      <c r="B9" s="68" t="s">
        <v>84</v>
      </c>
      <c r="C9" s="109"/>
      <c r="D9" s="111"/>
      <c r="E9" s="68"/>
      <c r="F9" s="117"/>
      <c r="G9" s="118"/>
      <c r="H9" s="109"/>
      <c r="I9" s="111"/>
      <c r="J9" s="68"/>
      <c r="K9" s="117"/>
      <c r="L9" s="118"/>
      <c r="M9" s="68"/>
      <c r="N9" s="68"/>
      <c r="O9" s="117"/>
      <c r="P9" s="109"/>
      <c r="Q9" s="111"/>
    </row>
    <row r="10" spans="1:17" ht="15">
      <c r="A10" s="109" t="s">
        <v>85</v>
      </c>
      <c r="B10" s="110"/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1"/>
    </row>
    <row r="11" spans="1:17" ht="39">
      <c r="A11" s="109" t="s">
        <v>86</v>
      </c>
      <c r="B11" s="110"/>
      <c r="C11" s="111"/>
      <c r="D11" s="122">
        <v>1841.41</v>
      </c>
      <c r="E11" s="123"/>
      <c r="F11" s="124"/>
      <c r="G11" s="122" t="s">
        <v>87</v>
      </c>
      <c r="H11" s="124"/>
      <c r="I11" s="122">
        <f>D11*1000/'工程概况'!G6</f>
        <v>117.1484737826524</v>
      </c>
      <c r="J11" s="123"/>
      <c r="K11" s="124"/>
      <c r="L11" s="122" t="s">
        <v>88</v>
      </c>
      <c r="M11" s="124"/>
      <c r="N11" s="122">
        <v>358.81</v>
      </c>
      <c r="O11" s="124"/>
      <c r="P11" s="132" t="s">
        <v>89</v>
      </c>
      <c r="Q11" s="132">
        <f>N11/'工程概况'!G6</f>
        <v>0.022827096560762407</v>
      </c>
    </row>
    <row r="12" spans="1:17" ht="14.25">
      <c r="A12" s="107" t="s">
        <v>90</v>
      </c>
      <c r="B12" s="125"/>
      <c r="C12" s="108"/>
      <c r="D12" s="126">
        <f>181.49+14.557</f>
        <v>196.047</v>
      </c>
      <c r="E12" s="127"/>
      <c r="F12" s="128"/>
      <c r="G12" s="126" t="s">
        <v>91</v>
      </c>
      <c r="H12" s="128"/>
      <c r="I12" s="126">
        <f>D12/'工程概况'!G6</f>
        <v>0.012472293970200908</v>
      </c>
      <c r="J12" s="127"/>
      <c r="K12" s="128"/>
      <c r="L12" s="126" t="s">
        <v>92</v>
      </c>
      <c r="M12" s="128"/>
      <c r="N12" s="107">
        <v>105283.43</v>
      </c>
      <c r="O12" s="108"/>
      <c r="P12" s="134" t="s">
        <v>93</v>
      </c>
      <c r="Q12" s="137">
        <f>N12/'工程概况'!G6</f>
        <v>6.698015726591426</v>
      </c>
    </row>
    <row r="13" spans="1:17" ht="15">
      <c r="A13" s="115"/>
      <c r="B13" s="129"/>
      <c r="C13" s="68"/>
      <c r="D13" s="130"/>
      <c r="E13" s="131"/>
      <c r="F13" s="132"/>
      <c r="G13" s="130"/>
      <c r="H13" s="132"/>
      <c r="I13" s="130"/>
      <c r="J13" s="131"/>
      <c r="K13" s="132"/>
      <c r="L13" s="130"/>
      <c r="M13" s="132"/>
      <c r="N13" s="115"/>
      <c r="O13" s="68"/>
      <c r="P13" s="132" t="s">
        <v>94</v>
      </c>
      <c r="Q13" s="138"/>
    </row>
  </sheetData>
  <sheetProtection/>
  <mergeCells count="54">
    <mergeCell ref="A1:Q1"/>
    <mergeCell ref="C2:G2"/>
    <mergeCell ref="H2:L2"/>
    <mergeCell ref="M2:O2"/>
    <mergeCell ref="A5:B5"/>
    <mergeCell ref="C5:D5"/>
    <mergeCell ref="F5:G5"/>
    <mergeCell ref="H5:I5"/>
    <mergeCell ref="K5:L5"/>
    <mergeCell ref="P5:Q5"/>
    <mergeCell ref="C6:D6"/>
    <mergeCell ref="F6:G6"/>
    <mergeCell ref="H6:I6"/>
    <mergeCell ref="K6:L6"/>
    <mergeCell ref="P6:Q6"/>
    <mergeCell ref="C7:D7"/>
    <mergeCell ref="F7:G7"/>
    <mergeCell ref="H7:I7"/>
    <mergeCell ref="K7:L7"/>
    <mergeCell ref="P7:Q7"/>
    <mergeCell ref="C8:D8"/>
    <mergeCell ref="F8:G8"/>
    <mergeCell ref="H8:I8"/>
    <mergeCell ref="K8:L8"/>
    <mergeCell ref="P8:Q8"/>
    <mergeCell ref="C9:D9"/>
    <mergeCell ref="F9:G9"/>
    <mergeCell ref="H9:I9"/>
    <mergeCell ref="K9:L9"/>
    <mergeCell ref="P9:Q9"/>
    <mergeCell ref="A10:Q10"/>
    <mergeCell ref="A11:C11"/>
    <mergeCell ref="D11:F11"/>
    <mergeCell ref="G11:H11"/>
    <mergeCell ref="I11:K11"/>
    <mergeCell ref="L11:M11"/>
    <mergeCell ref="N11:O11"/>
    <mergeCell ref="A6:A9"/>
    <mergeCell ref="E3:E4"/>
    <mergeCell ref="J3:J4"/>
    <mergeCell ref="O3:O4"/>
    <mergeCell ref="Q12:Q13"/>
    <mergeCell ref="I12:K13"/>
    <mergeCell ref="C3:D4"/>
    <mergeCell ref="K3:L4"/>
    <mergeCell ref="A2:B4"/>
    <mergeCell ref="P2:Q4"/>
    <mergeCell ref="F3:G4"/>
    <mergeCell ref="H3:I4"/>
    <mergeCell ref="L12:M13"/>
    <mergeCell ref="N12:O13"/>
    <mergeCell ref="A12:C13"/>
    <mergeCell ref="D12:F13"/>
    <mergeCell ref="G12:H13"/>
  </mergeCells>
  <printOptions/>
  <pageMargins left="0.75" right="0.75" top="1" bottom="1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6"/>
  <sheetViews>
    <sheetView workbookViewId="0" topLeftCell="A1">
      <pane xSplit="4" ySplit="3" topLeftCell="E9" activePane="bottomRight" state="frozen"/>
      <selection pane="bottomRight" activeCell="G24" sqref="G24"/>
    </sheetView>
  </sheetViews>
  <sheetFormatPr defaultColWidth="9.00390625" defaultRowHeight="14.25"/>
  <cols>
    <col min="1" max="1" width="5.00390625" style="74" customWidth="1"/>
    <col min="2" max="2" width="6.50390625" style="74" customWidth="1"/>
    <col min="3" max="3" width="6.875" style="74" customWidth="1"/>
    <col min="4" max="4" width="6.00390625" style="74" customWidth="1"/>
    <col min="5" max="5" width="13.375" style="74" customWidth="1"/>
    <col min="6" max="6" width="8.875" style="74" customWidth="1"/>
    <col min="7" max="7" width="9.75390625" style="74" bestFit="1" customWidth="1"/>
    <col min="8" max="8" width="13.125" style="74" customWidth="1"/>
    <col min="9" max="9" width="10.375" style="74" bestFit="1" customWidth="1"/>
    <col min="10" max="10" width="6.00390625" style="74" customWidth="1"/>
    <col min="11" max="11" width="2.75390625" style="74" customWidth="1"/>
    <col min="12" max="12" width="12.75390625" style="74" customWidth="1"/>
    <col min="13" max="13" width="9.75390625" style="74" customWidth="1"/>
    <col min="14" max="14" width="17.00390625" style="74" customWidth="1"/>
    <col min="15" max="15" width="15.50390625" style="74" customWidth="1"/>
    <col min="16" max="32" width="9.00390625" style="74" customWidth="1"/>
    <col min="33" max="16384" width="8.75390625" style="74" bestFit="1" customWidth="1"/>
  </cols>
  <sheetData>
    <row r="1" spans="1:14" ht="19.5" customHeight="1">
      <c r="A1" s="75" t="s">
        <v>95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89"/>
    </row>
    <row r="2" spans="1:14" ht="15">
      <c r="A2" s="69" t="s">
        <v>96</v>
      </c>
      <c r="B2" s="77"/>
      <c r="C2" s="70"/>
      <c r="D2" s="69" t="s">
        <v>97</v>
      </c>
      <c r="E2" s="77"/>
      <c r="F2" s="77"/>
      <c r="G2" s="77"/>
      <c r="H2" s="70"/>
      <c r="I2" s="69" t="s">
        <v>9</v>
      </c>
      <c r="J2" s="70"/>
      <c r="K2" s="69" t="s">
        <v>98</v>
      </c>
      <c r="L2" s="77"/>
      <c r="M2" s="77"/>
      <c r="N2" s="70"/>
    </row>
    <row r="3" spans="1:14" ht="15">
      <c r="A3" s="78" t="s">
        <v>99</v>
      </c>
      <c r="B3" s="79"/>
      <c r="C3" s="79"/>
      <c r="D3" s="80"/>
      <c r="E3" s="81" t="s">
        <v>100</v>
      </c>
      <c r="F3" s="81" t="s">
        <v>101</v>
      </c>
      <c r="G3" s="82" t="s">
        <v>102</v>
      </c>
      <c r="H3" s="81" t="s">
        <v>103</v>
      </c>
      <c r="I3" s="81" t="s">
        <v>104</v>
      </c>
      <c r="J3" s="78" t="s">
        <v>105</v>
      </c>
      <c r="K3" s="80"/>
      <c r="L3" s="69" t="s">
        <v>70</v>
      </c>
      <c r="M3" s="70"/>
      <c r="N3" s="82" t="s">
        <v>71</v>
      </c>
    </row>
    <row r="4" spans="1:14" ht="26.25">
      <c r="A4" s="83"/>
      <c r="B4" s="84"/>
      <c r="C4" s="84"/>
      <c r="D4" s="66"/>
      <c r="E4" s="66" t="s">
        <v>106</v>
      </c>
      <c r="F4" s="66" t="s">
        <v>107</v>
      </c>
      <c r="G4" s="85"/>
      <c r="H4" s="66" t="s">
        <v>106</v>
      </c>
      <c r="I4" s="66" t="s">
        <v>107</v>
      </c>
      <c r="J4" s="83"/>
      <c r="K4" s="66"/>
      <c r="L4" s="66" t="s">
        <v>108</v>
      </c>
      <c r="M4" s="66" t="s">
        <v>76</v>
      </c>
      <c r="N4" s="85"/>
    </row>
    <row r="5" spans="1:14" ht="15">
      <c r="A5" s="82" t="s">
        <v>109</v>
      </c>
      <c r="B5" s="66">
        <v>1</v>
      </c>
      <c r="C5" s="69" t="s">
        <v>110</v>
      </c>
      <c r="D5" s="70"/>
      <c r="E5" s="86">
        <v>2775173.81</v>
      </c>
      <c r="F5" s="87">
        <f>E5/E19</f>
        <v>0.06807756100561418</v>
      </c>
      <c r="G5" s="86">
        <f>E5/'工程概况'!G6</f>
        <v>176.5534977669767</v>
      </c>
      <c r="H5" s="86">
        <v>5542991.7</v>
      </c>
      <c r="I5" s="72">
        <f>H5/H19</f>
        <v>0.12241064648367328</v>
      </c>
      <c r="J5" s="90">
        <f>H5/'工程概况'!G6</f>
        <v>352.6390200145051</v>
      </c>
      <c r="K5" s="91"/>
      <c r="L5" s="92">
        <f>H5-E5</f>
        <v>2767817.89</v>
      </c>
      <c r="M5" s="72">
        <f>L5/E5</f>
        <v>0.9973493840373191</v>
      </c>
      <c r="N5" s="93" t="s">
        <v>111</v>
      </c>
    </row>
    <row r="6" spans="1:14" ht="96" customHeight="1">
      <c r="A6" s="88"/>
      <c r="B6" s="66">
        <v>2</v>
      </c>
      <c r="C6" s="69" t="s">
        <v>112</v>
      </c>
      <c r="D6" s="70"/>
      <c r="E6" s="86">
        <f>E19-E5-E7</f>
        <v>28753928.309999995</v>
      </c>
      <c r="F6" s="87">
        <f>E6/E19</f>
        <v>0.7053602558591029</v>
      </c>
      <c r="G6" s="86">
        <f>E6/'工程概况'!G6</f>
        <v>1829.2932137722185</v>
      </c>
      <c r="H6" s="86">
        <f>H19-H5-H7</f>
        <v>30354498.79</v>
      </c>
      <c r="I6" s="72">
        <f>H6/H19</f>
        <v>0.6703444676945445</v>
      </c>
      <c r="J6" s="90">
        <f>H6/'工程概况'!G6</f>
        <v>1931.1197428524167</v>
      </c>
      <c r="K6" s="91"/>
      <c r="L6" s="92">
        <f>H6-E6</f>
        <v>1600570.4800000042</v>
      </c>
      <c r="M6" s="72">
        <f>L6/E6</f>
        <v>0.05566441088480284</v>
      </c>
      <c r="N6" s="93" t="s">
        <v>113</v>
      </c>
    </row>
    <row r="7" spans="1:14" ht="51.75">
      <c r="A7" s="88"/>
      <c r="B7" s="66">
        <v>3</v>
      </c>
      <c r="C7" s="69" t="s">
        <v>81</v>
      </c>
      <c r="D7" s="70"/>
      <c r="E7" s="86">
        <v>9235780.89</v>
      </c>
      <c r="F7" s="87">
        <f>E7/E19</f>
        <v>0.22656218313528287</v>
      </c>
      <c r="G7" s="86">
        <f>E7/'工程概况'!G6</f>
        <v>587.570196455155</v>
      </c>
      <c r="H7" s="86">
        <v>9384450.74</v>
      </c>
      <c r="I7" s="72">
        <f>H7/H19</f>
        <v>0.20724488582178213</v>
      </c>
      <c r="J7" s="90">
        <f>H7/'工程概况'!G6</f>
        <v>597.0284083824259</v>
      </c>
      <c r="K7" s="91"/>
      <c r="L7" s="92">
        <f>H7-E7</f>
        <v>148669.84999999963</v>
      </c>
      <c r="M7" s="72">
        <f>L7/E7</f>
        <v>0.016097160789183645</v>
      </c>
      <c r="N7" s="93" t="s">
        <v>114</v>
      </c>
    </row>
    <row r="8" spans="1:14" ht="15">
      <c r="A8" s="88"/>
      <c r="B8" s="66">
        <v>4</v>
      </c>
      <c r="C8" s="69" t="s">
        <v>84</v>
      </c>
      <c r="D8" s="70"/>
      <c r="E8" s="86">
        <v>0</v>
      </c>
      <c r="F8" s="87">
        <v>0</v>
      </c>
      <c r="G8" s="86">
        <v>0</v>
      </c>
      <c r="H8" s="86">
        <v>0</v>
      </c>
      <c r="I8" s="72">
        <v>0</v>
      </c>
      <c r="J8" s="90">
        <v>0</v>
      </c>
      <c r="K8" s="91"/>
      <c r="L8" s="92">
        <v>0</v>
      </c>
      <c r="M8" s="72">
        <v>0</v>
      </c>
      <c r="N8" s="93"/>
    </row>
    <row r="9" spans="1:14" ht="35.25" customHeight="1">
      <c r="A9" s="88"/>
      <c r="B9" s="66" t="s">
        <v>115</v>
      </c>
      <c r="C9" s="69" t="s">
        <v>116</v>
      </c>
      <c r="D9" s="70"/>
      <c r="E9" s="86">
        <f>E10+E11+E12+E13+E14</f>
        <v>28131416.689999998</v>
      </c>
      <c r="F9" s="87">
        <f>E9/E19</f>
        <v>0.6900894743914536</v>
      </c>
      <c r="G9" s="86">
        <f>E9/'工程概况'!G6</f>
        <v>1789.6897109157303</v>
      </c>
      <c r="H9" s="86">
        <f>H10+H11+H12+H13+H14</f>
        <v>32805619.57</v>
      </c>
      <c r="I9" s="87">
        <f>H9/H19</f>
        <v>0.7244746731013766</v>
      </c>
      <c r="J9" s="94">
        <f>H9/'工程概况'!G6</f>
        <v>2087.057344165511</v>
      </c>
      <c r="K9" s="95"/>
      <c r="L9" s="86">
        <f>H9-E9</f>
        <v>4674202.880000003</v>
      </c>
      <c r="M9" s="87">
        <f>L9/E9</f>
        <v>0.16615597186264575</v>
      </c>
      <c r="N9" s="96" t="s">
        <v>113</v>
      </c>
    </row>
    <row r="10" spans="1:14" ht="33.75" customHeight="1">
      <c r="A10" s="88"/>
      <c r="B10" s="82" t="s">
        <v>78</v>
      </c>
      <c r="C10" s="69" t="s">
        <v>117</v>
      </c>
      <c r="D10" s="70"/>
      <c r="E10" s="86">
        <f>4906799.05-0.11</f>
        <v>4906798.9399999995</v>
      </c>
      <c r="F10" s="87">
        <f>E10/E19</f>
        <v>0.12036828215099543</v>
      </c>
      <c r="G10" s="86">
        <f>E10/'工程概况'!G6</f>
        <v>312.1651381166261</v>
      </c>
      <c r="H10" s="86">
        <v>5276486.2</v>
      </c>
      <c r="I10" s="87">
        <f>H10/H19</f>
        <v>0.11652517663055144</v>
      </c>
      <c r="J10" s="94">
        <f>H10/'工程概况'!G6</f>
        <v>335.6842339648569</v>
      </c>
      <c r="K10" s="95"/>
      <c r="L10" s="86">
        <f aca="true" t="shared" si="0" ref="L10:L19">H10-E10</f>
        <v>369687.2600000007</v>
      </c>
      <c r="M10" s="87">
        <f>L10/E10</f>
        <v>0.0753418398676023</v>
      </c>
      <c r="N10" s="97"/>
    </row>
    <row r="11" spans="1:14" ht="29.25" customHeight="1">
      <c r="A11" s="88"/>
      <c r="B11" s="88"/>
      <c r="C11" s="69" t="s">
        <v>118</v>
      </c>
      <c r="D11" s="70"/>
      <c r="E11" s="86">
        <v>19097706.04</v>
      </c>
      <c r="F11" s="87">
        <f>E11/E19</f>
        <v>0.46848425973196484</v>
      </c>
      <c r="G11" s="86">
        <f>E11/'工程概况'!G6</f>
        <v>1214.9750003180943</v>
      </c>
      <c r="H11" s="86">
        <f>22376306.69+1240</f>
        <v>22377546.69</v>
      </c>
      <c r="I11" s="87">
        <f>H11/H19</f>
        <v>0.49418258321431063</v>
      </c>
      <c r="J11" s="94">
        <f>H11/'工程概况'!G6</f>
        <v>1423.6348459786495</v>
      </c>
      <c r="K11" s="95"/>
      <c r="L11" s="86">
        <f t="shared" si="0"/>
        <v>3279840.6500000022</v>
      </c>
      <c r="M11" s="87">
        <f aca="true" t="shared" si="1" ref="M11:M19">L11/E11</f>
        <v>0.17174003218660927</v>
      </c>
      <c r="N11" s="97"/>
    </row>
    <row r="12" spans="1:14" ht="31.5" customHeight="1">
      <c r="A12" s="88"/>
      <c r="B12" s="88"/>
      <c r="C12" s="69" t="s">
        <v>119</v>
      </c>
      <c r="D12" s="70"/>
      <c r="E12" s="86">
        <v>1925164.73</v>
      </c>
      <c r="F12" s="87">
        <f>E12/E19</f>
        <v>0.04722605801487863</v>
      </c>
      <c r="G12" s="86">
        <f>E12/'工程概况'!G6</f>
        <v>122.47685735370834</v>
      </c>
      <c r="H12" s="86">
        <v>2730543.28</v>
      </c>
      <c r="I12" s="87">
        <f>H12/H19</f>
        <v>0.060300932465125225</v>
      </c>
      <c r="J12" s="94">
        <f>H12/'工程概况'!G6</f>
        <v>173.7141526599061</v>
      </c>
      <c r="K12" s="95"/>
      <c r="L12" s="86">
        <f t="shared" si="0"/>
        <v>805378.5499999998</v>
      </c>
      <c r="M12" s="87">
        <f t="shared" si="1"/>
        <v>0.41834266826610716</v>
      </c>
      <c r="N12" s="97"/>
    </row>
    <row r="13" spans="1:14" ht="30" customHeight="1">
      <c r="A13" s="88"/>
      <c r="B13" s="88"/>
      <c r="C13" s="69" t="s">
        <v>120</v>
      </c>
      <c r="D13" s="70"/>
      <c r="E13" s="86">
        <v>1530363.01</v>
      </c>
      <c r="F13" s="87">
        <f>E13/E19</f>
        <v>0.037541209418523</v>
      </c>
      <c r="G13" s="86">
        <f>E13/'工程概况'!G6</f>
        <v>97.3600072525543</v>
      </c>
      <c r="H13" s="86">
        <v>1672607.91</v>
      </c>
      <c r="I13" s="87">
        <f>H13/H19</f>
        <v>0.036937637048384105</v>
      </c>
      <c r="J13" s="94">
        <f>H13/'工程概况'!G6</f>
        <v>106.40947094524957</v>
      </c>
      <c r="K13" s="95"/>
      <c r="L13" s="86">
        <f t="shared" si="0"/>
        <v>142244.8999999999</v>
      </c>
      <c r="M13" s="87">
        <f t="shared" si="1"/>
        <v>0.09294846978822359</v>
      </c>
      <c r="N13" s="97"/>
    </row>
    <row r="14" spans="1:14" ht="29.25" customHeight="1">
      <c r="A14" s="88"/>
      <c r="B14" s="85"/>
      <c r="C14" s="69" t="s">
        <v>121</v>
      </c>
      <c r="D14" s="70"/>
      <c r="E14" s="86">
        <v>671383.97</v>
      </c>
      <c r="F14" s="87">
        <f>E14/E19</f>
        <v>0.0164696650750918</v>
      </c>
      <c r="G14" s="86">
        <f>E14/'工程概况'!G6</f>
        <v>42.71270787474711</v>
      </c>
      <c r="H14" s="86">
        <v>748435.49</v>
      </c>
      <c r="I14" s="87">
        <f>H14/H19</f>
        <v>0.016528343743005203</v>
      </c>
      <c r="J14" s="94">
        <f>H14/'工程概况'!G6</f>
        <v>47.614640616848824</v>
      </c>
      <c r="K14" s="95"/>
      <c r="L14" s="86">
        <f t="shared" si="0"/>
        <v>77051.52000000002</v>
      </c>
      <c r="M14" s="87">
        <f t="shared" si="1"/>
        <v>0.11476520656279598</v>
      </c>
      <c r="N14" s="98"/>
    </row>
    <row r="15" spans="1:14" ht="15">
      <c r="A15" s="88"/>
      <c r="B15" s="66" t="s">
        <v>122</v>
      </c>
      <c r="C15" s="69" t="s">
        <v>123</v>
      </c>
      <c r="D15" s="70"/>
      <c r="E15" s="86">
        <v>7359376.54</v>
      </c>
      <c r="F15" s="87">
        <f>E15/E19</f>
        <v>0.18053226200096484</v>
      </c>
      <c r="G15" s="86">
        <f>E15/'工程概况'!G6</f>
        <v>468.19542071176824</v>
      </c>
      <c r="H15" s="86">
        <f>7426480.68-1755.65</f>
        <v>7424725.029999999</v>
      </c>
      <c r="I15" s="87">
        <f>H15/H19</f>
        <v>0.16396657979585472</v>
      </c>
      <c r="J15" s="94">
        <f>H15/'工程概况'!G6</f>
        <v>472.35281958953084</v>
      </c>
      <c r="K15" s="95"/>
      <c r="L15" s="86">
        <f t="shared" si="0"/>
        <v>65348.48999999929</v>
      </c>
      <c r="M15" s="87">
        <f t="shared" si="1"/>
        <v>0.008879623110030363</v>
      </c>
      <c r="N15" s="99"/>
    </row>
    <row r="16" spans="1:14" ht="15">
      <c r="A16" s="88"/>
      <c r="B16" s="66" t="s">
        <v>124</v>
      </c>
      <c r="C16" s="69" t="s">
        <v>125</v>
      </c>
      <c r="D16" s="70"/>
      <c r="E16" s="86">
        <v>0</v>
      </c>
      <c r="F16" s="87">
        <f>E16/E19</f>
        <v>0</v>
      </c>
      <c r="G16" s="86">
        <f>E16/'工程概况'!G6</f>
        <v>0</v>
      </c>
      <c r="H16" s="86">
        <v>0</v>
      </c>
      <c r="I16" s="87">
        <f>H16/H19</f>
        <v>0</v>
      </c>
      <c r="J16" s="94">
        <f>H16/'工程概况'!G6</f>
        <v>0</v>
      </c>
      <c r="K16" s="95"/>
      <c r="L16" s="86">
        <f t="shared" si="0"/>
        <v>0</v>
      </c>
      <c r="M16" s="87">
        <v>0</v>
      </c>
      <c r="N16" s="99"/>
    </row>
    <row r="17" spans="1:14" ht="15">
      <c r="A17" s="88"/>
      <c r="B17" s="66" t="s">
        <v>126</v>
      </c>
      <c r="C17" s="69" t="s">
        <v>127</v>
      </c>
      <c r="D17" s="70"/>
      <c r="E17" s="86">
        <v>1234326.61</v>
      </c>
      <c r="F17" s="87">
        <f>E17/E19</f>
        <v>0.03027916478252148</v>
      </c>
      <c r="G17" s="86">
        <f>E17/'工程概况'!G6</f>
        <v>78.52649790693827</v>
      </c>
      <c r="H17" s="86">
        <v>1312575.78</v>
      </c>
      <c r="I17" s="87">
        <f>H17/H19</f>
        <v>0.028986738296687638</v>
      </c>
      <c r="J17" s="94">
        <f>H17/'工程概况'!G6</f>
        <v>83.50462382145993</v>
      </c>
      <c r="K17" s="95"/>
      <c r="L17" s="86">
        <f t="shared" si="0"/>
        <v>78249.16999999993</v>
      </c>
      <c r="M17" s="87">
        <f t="shared" si="1"/>
        <v>0.06339421783996046</v>
      </c>
      <c r="N17" s="99"/>
    </row>
    <row r="18" spans="1:14" ht="15">
      <c r="A18" s="88"/>
      <c r="B18" s="66" t="s">
        <v>128</v>
      </c>
      <c r="C18" s="69" t="s">
        <v>129</v>
      </c>
      <c r="D18" s="70"/>
      <c r="E18" s="86">
        <v>4039763.17</v>
      </c>
      <c r="F18" s="87">
        <f>E18/E19</f>
        <v>0.09909909882506002</v>
      </c>
      <c r="G18" s="86">
        <f>E18/'工程概况'!G6</f>
        <v>257.0052784599137</v>
      </c>
      <c r="H18" s="86">
        <v>3739020.85</v>
      </c>
      <c r="I18" s="87">
        <f>H18/H19</f>
        <v>0.08257200880608094</v>
      </c>
      <c r="J18" s="94">
        <f>H18/'工程概况'!G6</f>
        <v>237.87238367284618</v>
      </c>
      <c r="K18" s="95"/>
      <c r="L18" s="86">
        <f t="shared" si="0"/>
        <v>-300742.31999999983</v>
      </c>
      <c r="M18" s="87">
        <f t="shared" si="1"/>
        <v>-0.07444553240976248</v>
      </c>
      <c r="N18" s="99" t="s">
        <v>130</v>
      </c>
    </row>
    <row r="19" spans="1:14" ht="15">
      <c r="A19" s="85"/>
      <c r="B19" s="66"/>
      <c r="C19" s="69" t="s">
        <v>131</v>
      </c>
      <c r="D19" s="70"/>
      <c r="E19" s="86">
        <f>E9+E15+E16+E17+E18</f>
        <v>40764883.01</v>
      </c>
      <c r="F19" s="87">
        <f>E19/E19</f>
        <v>1</v>
      </c>
      <c r="G19" s="86">
        <f>E19/'工程概况'!G6</f>
        <v>2593.4169079943504</v>
      </c>
      <c r="H19" s="86">
        <f>H9+H15+H16+H17+H18</f>
        <v>45281941.230000004</v>
      </c>
      <c r="I19" s="87">
        <f>H19/H19</f>
        <v>1</v>
      </c>
      <c r="J19" s="94">
        <f>H19/'工程概况'!G6</f>
        <v>2880.787171249348</v>
      </c>
      <c r="K19" s="95"/>
      <c r="L19" s="86">
        <f t="shared" si="0"/>
        <v>4517058.220000006</v>
      </c>
      <c r="M19" s="87">
        <f t="shared" si="1"/>
        <v>0.11080758453034026</v>
      </c>
      <c r="N19" s="99"/>
    </row>
    <row r="22" spans="15:17" ht="14.25">
      <c r="O22" s="100"/>
      <c r="P22" s="100"/>
      <c r="Q22" s="100"/>
    </row>
    <row r="23" spans="12:17" ht="14.25">
      <c r="L23" s="101"/>
      <c r="O23" s="100"/>
      <c r="P23" s="102"/>
      <c r="Q23" s="100"/>
    </row>
    <row r="24" spans="15:17" ht="14.25">
      <c r="O24" s="100"/>
      <c r="P24" s="102"/>
      <c r="Q24" s="100"/>
    </row>
    <row r="25" spans="15:17" ht="14.25">
      <c r="O25" s="100"/>
      <c r="P25" s="102"/>
      <c r="Q25" s="100"/>
    </row>
    <row r="26" spans="15:17" ht="14.25">
      <c r="O26" s="100"/>
      <c r="P26" s="100"/>
      <c r="Q26" s="100"/>
    </row>
  </sheetData>
  <sheetProtection/>
  <mergeCells count="43">
    <mergeCell ref="A1:N1"/>
    <mergeCell ref="A2:C2"/>
    <mergeCell ref="D2:H2"/>
    <mergeCell ref="I2:J2"/>
    <mergeCell ref="K2:N2"/>
    <mergeCell ref="L3:M3"/>
    <mergeCell ref="C5:D5"/>
    <mergeCell ref="J5:K5"/>
    <mergeCell ref="C6:D6"/>
    <mergeCell ref="J6:K6"/>
    <mergeCell ref="C7:D7"/>
    <mergeCell ref="J7:K7"/>
    <mergeCell ref="C8:D8"/>
    <mergeCell ref="J8:K8"/>
    <mergeCell ref="C9:D9"/>
    <mergeCell ref="J9:K9"/>
    <mergeCell ref="C10:D10"/>
    <mergeCell ref="J10:K10"/>
    <mergeCell ref="C11:D11"/>
    <mergeCell ref="J11:K11"/>
    <mergeCell ref="C12:D12"/>
    <mergeCell ref="J12:K12"/>
    <mergeCell ref="C13:D13"/>
    <mergeCell ref="J13:K13"/>
    <mergeCell ref="C14:D14"/>
    <mergeCell ref="J14:K14"/>
    <mergeCell ref="C15:D15"/>
    <mergeCell ref="J15:K15"/>
    <mergeCell ref="C16:D16"/>
    <mergeCell ref="J16:K16"/>
    <mergeCell ref="C17:D17"/>
    <mergeCell ref="J17:K17"/>
    <mergeCell ref="C18:D18"/>
    <mergeCell ref="J18:K18"/>
    <mergeCell ref="C19:D19"/>
    <mergeCell ref="J19:K19"/>
    <mergeCell ref="A5:A19"/>
    <mergeCell ref="B10:B14"/>
    <mergeCell ref="G3:G4"/>
    <mergeCell ref="N3:N4"/>
    <mergeCell ref="N9:N14"/>
    <mergeCell ref="A3:D4"/>
    <mergeCell ref="J3:K4"/>
  </mergeCells>
  <printOptions/>
  <pageMargins left="0.75" right="0.75" top="1" bottom="1" header="0.5" footer="0.5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N22"/>
  <sheetViews>
    <sheetView workbookViewId="0" topLeftCell="A6">
      <selection activeCell="H5" sqref="H5:H9"/>
    </sheetView>
  </sheetViews>
  <sheetFormatPr defaultColWidth="8.75390625" defaultRowHeight="14.25"/>
  <cols>
    <col min="5" max="7" width="12.75390625" style="0" bestFit="1" customWidth="1"/>
    <col min="8" max="8" width="13.875" style="0" bestFit="1" customWidth="1"/>
    <col min="9" max="9" width="12.75390625" style="0" bestFit="1" customWidth="1"/>
    <col min="10" max="10" width="9.00390625" style="26" bestFit="1" customWidth="1"/>
    <col min="11" max="11" width="5.00390625" style="26" customWidth="1"/>
    <col min="12" max="12" width="12.625" style="0" bestFit="1" customWidth="1"/>
    <col min="13" max="13" width="10.125" style="0" customWidth="1"/>
    <col min="14" max="14" width="13.875" style="0" customWidth="1"/>
  </cols>
  <sheetData>
    <row r="1" spans="1:14" ht="15">
      <c r="A1" s="13" t="s">
        <v>132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24"/>
    </row>
    <row r="2" spans="1:14" ht="15">
      <c r="A2" s="16" t="s">
        <v>96</v>
      </c>
      <c r="B2" s="25"/>
      <c r="C2" s="17"/>
      <c r="D2" s="16" t="s">
        <v>97</v>
      </c>
      <c r="E2" s="25"/>
      <c r="F2" s="25"/>
      <c r="G2" s="25"/>
      <c r="H2" s="17"/>
      <c r="I2" s="16" t="s">
        <v>9</v>
      </c>
      <c r="J2" s="17"/>
      <c r="K2" s="16" t="s">
        <v>98</v>
      </c>
      <c r="L2" s="25"/>
      <c r="M2" s="25"/>
      <c r="N2" s="17"/>
    </row>
    <row r="3" spans="1:14" s="59" customFormat="1" ht="18.75" customHeight="1">
      <c r="A3" s="60" t="s">
        <v>99</v>
      </c>
      <c r="B3" s="61"/>
      <c r="C3" s="61"/>
      <c r="D3" s="62"/>
      <c r="E3" s="19" t="s">
        <v>100</v>
      </c>
      <c r="F3" s="19" t="s">
        <v>101</v>
      </c>
      <c r="G3" s="15" t="s">
        <v>102</v>
      </c>
      <c r="H3" s="19" t="s">
        <v>103</v>
      </c>
      <c r="I3" s="19" t="s">
        <v>104</v>
      </c>
      <c r="J3" s="60" t="s">
        <v>105</v>
      </c>
      <c r="K3" s="62"/>
      <c r="L3" s="16" t="s">
        <v>70</v>
      </c>
      <c r="M3" s="17"/>
      <c r="N3" s="15" t="s">
        <v>71</v>
      </c>
    </row>
    <row r="4" spans="1:14" s="59" customFormat="1" ht="25.5" customHeight="1">
      <c r="A4" s="63"/>
      <c r="B4" s="64"/>
      <c r="C4" s="64"/>
      <c r="D4" s="21"/>
      <c r="E4" s="21" t="s">
        <v>106</v>
      </c>
      <c r="F4" s="21" t="s">
        <v>107</v>
      </c>
      <c r="G4" s="20"/>
      <c r="H4" s="21" t="s">
        <v>106</v>
      </c>
      <c r="I4" s="21" t="s">
        <v>107</v>
      </c>
      <c r="J4" s="63"/>
      <c r="K4" s="21"/>
      <c r="L4" s="21" t="s">
        <v>108</v>
      </c>
      <c r="M4" s="21" t="s">
        <v>76</v>
      </c>
      <c r="N4" s="20"/>
    </row>
    <row r="5" spans="1:14" s="59" customFormat="1" ht="21" customHeight="1">
      <c r="A5" s="15" t="s">
        <v>46</v>
      </c>
      <c r="B5" s="21">
        <v>1</v>
      </c>
      <c r="C5" s="16" t="s">
        <v>46</v>
      </c>
      <c r="D5" s="17"/>
      <c r="E5" s="21">
        <v>5022579.43</v>
      </c>
      <c r="F5" s="65">
        <f>E5/E21</f>
        <v>0.24948237163088197</v>
      </c>
      <c r="G5" s="66">
        <f>E5/'工程概况'!G6</f>
        <v>319.5309652259107</v>
      </c>
      <c r="H5" s="67">
        <v>5106539.48</v>
      </c>
      <c r="I5" s="65">
        <f>H5/H21</f>
        <v>0.26689364508659635</v>
      </c>
      <c r="J5" s="69">
        <f>H5/'工程概况'!G6</f>
        <v>324.87241102897207</v>
      </c>
      <c r="K5" s="70"/>
      <c r="L5" s="71">
        <f>H5-E5</f>
        <v>83960.05000000075</v>
      </c>
      <c r="M5" s="72">
        <f>L5/E5</f>
        <v>0.016716520100907743</v>
      </c>
      <c r="N5" s="21" t="s">
        <v>133</v>
      </c>
    </row>
    <row r="6" spans="1:14" s="59" customFormat="1" ht="29.25" customHeight="1">
      <c r="A6" s="18"/>
      <c r="B6" s="21">
        <v>2</v>
      </c>
      <c r="C6" s="16" t="s">
        <v>50</v>
      </c>
      <c r="D6" s="17"/>
      <c r="E6" s="21">
        <v>2738083.25</v>
      </c>
      <c r="F6" s="65">
        <f>E6/E21</f>
        <v>0.1360065106890292</v>
      </c>
      <c r="G6" s="66">
        <f>E6/'工程概况'!G6</f>
        <v>174.193837237413</v>
      </c>
      <c r="H6" s="67">
        <f>2566717.34+10112.53</f>
        <v>2576829.8699999996</v>
      </c>
      <c r="I6" s="65">
        <f>H6/H21</f>
        <v>0.13467819439483117</v>
      </c>
      <c r="J6" s="69">
        <f>H6/'工程概况'!G6</f>
        <v>163.93507500667997</v>
      </c>
      <c r="K6" s="70"/>
      <c r="L6" s="71">
        <f>H6-E6</f>
        <v>-161253.38000000035</v>
      </c>
      <c r="M6" s="72">
        <f>L6/E6</f>
        <v>-0.05889279663063581</v>
      </c>
      <c r="N6" s="21" t="s">
        <v>134</v>
      </c>
    </row>
    <row r="7" spans="1:14" s="59" customFormat="1" ht="27" customHeight="1">
      <c r="A7" s="18"/>
      <c r="B7" s="21">
        <v>3</v>
      </c>
      <c r="C7" s="16" t="s">
        <v>54</v>
      </c>
      <c r="D7" s="17"/>
      <c r="E7" s="21">
        <v>355628.64</v>
      </c>
      <c r="F7" s="65">
        <f>E7/E21</f>
        <v>0.01766484288871966</v>
      </c>
      <c r="G7" s="66">
        <f>E7/'工程概况'!G6</f>
        <v>22.624701945465883</v>
      </c>
      <c r="H7" s="68">
        <v>348743.03</v>
      </c>
      <c r="I7" s="65">
        <f>H7/H21</f>
        <v>0.018227078991513882</v>
      </c>
      <c r="J7" s="69">
        <f>H7/'工程概况'!G6</f>
        <v>22.186647029633683</v>
      </c>
      <c r="K7" s="70"/>
      <c r="L7" s="71">
        <f>H7-E7</f>
        <v>-6885.609999999986</v>
      </c>
      <c r="M7" s="72">
        <f>L7/E7</f>
        <v>-0.01936179830735788</v>
      </c>
      <c r="N7" s="21" t="s">
        <v>135</v>
      </c>
    </row>
    <row r="8" spans="1:14" s="59" customFormat="1" ht="27" customHeight="1">
      <c r="A8" s="18"/>
      <c r="B8" s="21">
        <v>4</v>
      </c>
      <c r="C8" s="16" t="s">
        <v>58</v>
      </c>
      <c r="D8" s="17"/>
      <c r="E8" s="21">
        <v>1757976.96</v>
      </c>
      <c r="F8" s="65">
        <f>E8/E21</f>
        <v>0.08732251373339617</v>
      </c>
      <c r="G8" s="66">
        <f>E8/'工程概况'!G6</f>
        <v>111.8405557746873</v>
      </c>
      <c r="H8" s="68">
        <f>1022196.88+437587.44</f>
        <v>1459784.32</v>
      </c>
      <c r="I8" s="65">
        <f>H8/H21</f>
        <v>0.0762957301575701</v>
      </c>
      <c r="J8" s="69">
        <f>H8/'工程概况'!G6</f>
        <v>92.86986881783365</v>
      </c>
      <c r="K8" s="70"/>
      <c r="L8" s="71">
        <f>H8-E8</f>
        <v>-298192.6399999999</v>
      </c>
      <c r="M8" s="72">
        <f>L8/E8</f>
        <v>-0.16962260984353283</v>
      </c>
      <c r="N8" s="21" t="s">
        <v>136</v>
      </c>
    </row>
    <row r="9" spans="1:14" s="59" customFormat="1" ht="31.5" customHeight="1">
      <c r="A9" s="18"/>
      <c r="B9" s="21">
        <v>5</v>
      </c>
      <c r="C9" s="16" t="s">
        <v>62</v>
      </c>
      <c r="D9" s="17"/>
      <c r="E9" s="21">
        <v>10257733.02</v>
      </c>
      <c r="F9" s="65">
        <f>E9/E21</f>
        <v>0.5095237610579728</v>
      </c>
      <c r="G9" s="66">
        <f>E9/'工程概况'!G6</f>
        <v>652.5856641176695</v>
      </c>
      <c r="H9" s="68">
        <f>9627854.24+13486.49</f>
        <v>9641340.73</v>
      </c>
      <c r="I9" s="65">
        <f>H9/H21</f>
        <v>0.5039053513694886</v>
      </c>
      <c r="J9" s="69">
        <f>I9/'工程概况'!G6</f>
        <v>3.2057902826555074E-05</v>
      </c>
      <c r="K9" s="70"/>
      <c r="L9" s="71">
        <f>H9-E9</f>
        <v>-616392.2899999991</v>
      </c>
      <c r="M9" s="72">
        <f>L9/E9</f>
        <v>-0.06009049843646634</v>
      </c>
      <c r="N9" s="21" t="s">
        <v>137</v>
      </c>
    </row>
    <row r="10" spans="1:14" s="59" customFormat="1" ht="18.75" customHeight="1">
      <c r="A10" s="18"/>
      <c r="B10" s="21">
        <v>6</v>
      </c>
      <c r="C10" s="16" t="s">
        <v>84</v>
      </c>
      <c r="D10" s="17"/>
      <c r="E10" s="21"/>
      <c r="F10" s="65"/>
      <c r="G10" s="66"/>
      <c r="H10" s="66"/>
      <c r="I10" s="65"/>
      <c r="J10" s="69"/>
      <c r="K10" s="70"/>
      <c r="L10" s="71"/>
      <c r="M10" s="72"/>
      <c r="N10" s="21"/>
    </row>
    <row r="11" spans="1:14" s="59" customFormat="1" ht="18.75" customHeight="1">
      <c r="A11" s="18"/>
      <c r="B11" s="21" t="s">
        <v>115</v>
      </c>
      <c r="C11" s="16" t="s">
        <v>116</v>
      </c>
      <c r="D11" s="17"/>
      <c r="E11" s="21">
        <f>E12+E13+E14+E15+E16</f>
        <v>17606420.150000002</v>
      </c>
      <c r="F11" s="65">
        <f>E11/E21</f>
        <v>0.8745489277312931</v>
      </c>
      <c r="G11" s="66">
        <f>E11/'工程概况'!G6</f>
        <v>1120.101036351838</v>
      </c>
      <c r="H11" s="21">
        <f>H12+H13+H14+H15+H16</f>
        <v>17043656.900000002</v>
      </c>
      <c r="I11" s="65">
        <f>H11/H21</f>
        <v>0.890787926630564</v>
      </c>
      <c r="J11" s="69">
        <f>H11/'工程概况'!G6</f>
        <v>1084.2986589136437</v>
      </c>
      <c r="K11" s="70"/>
      <c r="L11" s="71">
        <f>H11-E11</f>
        <v>-562763.25</v>
      </c>
      <c r="M11" s="72">
        <f aca="true" t="shared" si="0" ref="M11:M21">F11-I11</f>
        <v>-0.01623899889927094</v>
      </c>
      <c r="N11" s="21"/>
    </row>
    <row r="12" spans="1:14" s="59" customFormat="1" ht="18.75" customHeight="1">
      <c r="A12" s="18"/>
      <c r="B12" s="15" t="s">
        <v>78</v>
      </c>
      <c r="C12" s="16" t="s">
        <v>117</v>
      </c>
      <c r="D12" s="17"/>
      <c r="E12" s="21">
        <v>1258368.92</v>
      </c>
      <c r="F12" s="65">
        <f>E12/E21</f>
        <v>0.06250590297746501</v>
      </c>
      <c r="G12" s="66">
        <f>E12/'工程概况'!G6</f>
        <v>80.05604315905995</v>
      </c>
      <c r="H12" s="66">
        <v>1227733.12</v>
      </c>
      <c r="I12" s="65">
        <f>H12/H21</f>
        <v>0.06416755786843335</v>
      </c>
      <c r="J12" s="69">
        <f>H12/'工程概况'!G6</f>
        <v>78.1070273434021</v>
      </c>
      <c r="K12" s="70"/>
      <c r="L12" s="71">
        <f aca="true" t="shared" si="1" ref="L12:L21">H12-E12</f>
        <v>-30635.799999999814</v>
      </c>
      <c r="M12" s="72">
        <f t="shared" si="0"/>
        <v>-0.0016616548909683393</v>
      </c>
      <c r="N12" s="21"/>
    </row>
    <row r="13" spans="1:14" s="59" customFormat="1" ht="18.75" customHeight="1">
      <c r="A13" s="18"/>
      <c r="B13" s="18"/>
      <c r="C13" s="16" t="s">
        <v>118</v>
      </c>
      <c r="D13" s="17"/>
      <c r="E13" s="21">
        <v>15690797.58</v>
      </c>
      <c r="F13" s="65">
        <f>E13/E21</f>
        <v>0.7793958159539756</v>
      </c>
      <c r="G13" s="66">
        <f>E13/'工程概况'!G6</f>
        <v>998.2312406957362</v>
      </c>
      <c r="H13" s="66">
        <f>15183169.54+245.41</f>
        <v>15183414.95</v>
      </c>
      <c r="I13" s="65">
        <f>H13/H21</f>
        <v>0.7935622502751747</v>
      </c>
      <c r="J13" s="69">
        <f>H13/'工程概况'!G6</f>
        <v>965.952117236904</v>
      </c>
      <c r="K13" s="70"/>
      <c r="L13" s="71">
        <f t="shared" si="1"/>
        <v>-507382.6300000008</v>
      </c>
      <c r="M13" s="72">
        <f t="shared" si="0"/>
        <v>-0.014166434321199128</v>
      </c>
      <c r="N13" s="21"/>
    </row>
    <row r="14" spans="1:14" s="59" customFormat="1" ht="18.75" customHeight="1">
      <c r="A14" s="18"/>
      <c r="B14" s="18"/>
      <c r="C14" s="16" t="s">
        <v>119</v>
      </c>
      <c r="D14" s="17"/>
      <c r="E14" s="21">
        <v>96771.87</v>
      </c>
      <c r="F14" s="65">
        <f>E14/E21</f>
        <v>0.004806867859679702</v>
      </c>
      <c r="G14" s="66">
        <f>E14/'工程概况'!G6</f>
        <v>6.156519664601173</v>
      </c>
      <c r="H14" s="66">
        <v>88675.46</v>
      </c>
      <c r="I14" s="65">
        <f>H14/H21</f>
        <v>0.004634629153818012</v>
      </c>
      <c r="J14" s="69">
        <f>H14/'工程概况'!G6</f>
        <v>5.641434987848791</v>
      </c>
      <c r="K14" s="70"/>
      <c r="L14" s="71">
        <f t="shared" si="1"/>
        <v>-8096.409999999989</v>
      </c>
      <c r="M14" s="72">
        <f t="shared" si="0"/>
        <v>0.00017223870586169018</v>
      </c>
      <c r="N14" s="21"/>
    </row>
    <row r="15" spans="1:14" s="59" customFormat="1" ht="18.75" customHeight="1">
      <c r="A15" s="18"/>
      <c r="B15" s="18"/>
      <c r="C15" s="16" t="s">
        <v>120</v>
      </c>
      <c r="D15" s="17"/>
      <c r="E15" s="21">
        <v>430223.64</v>
      </c>
      <c r="F15" s="65">
        <f>E15/E21</f>
        <v>0.021370137702107137</v>
      </c>
      <c r="G15" s="66">
        <f>E15/'工程概况'!G6</f>
        <v>27.370353593831513</v>
      </c>
      <c r="H15" s="66">
        <v>417842.3</v>
      </c>
      <c r="I15" s="65">
        <f>H15/H21</f>
        <v>0.021838557198106123</v>
      </c>
      <c r="J15" s="69">
        <f>H15/'工程概况'!G6</f>
        <v>26.58266639522604</v>
      </c>
      <c r="K15" s="70"/>
      <c r="L15" s="71">
        <f t="shared" si="1"/>
        <v>-12381.340000000026</v>
      </c>
      <c r="M15" s="72">
        <f t="shared" si="0"/>
        <v>-0.0004684194959989861</v>
      </c>
      <c r="N15" s="21"/>
    </row>
    <row r="16" spans="1:14" s="59" customFormat="1" ht="18.75" customHeight="1">
      <c r="A16" s="18"/>
      <c r="B16" s="20"/>
      <c r="C16" s="16" t="s">
        <v>121</v>
      </c>
      <c r="D16" s="17"/>
      <c r="E16" s="21">
        <v>130258.14</v>
      </c>
      <c r="F16" s="65">
        <f>E16/E21</f>
        <v>0.006470203238065555</v>
      </c>
      <c r="G16" s="66">
        <f>E16/'工程概况'!G6</f>
        <v>8.286879238609036</v>
      </c>
      <c r="H16" s="66">
        <v>125991.07</v>
      </c>
      <c r="I16" s="65">
        <f>H16/H21</f>
        <v>0.006584932135031788</v>
      </c>
      <c r="J16" s="69">
        <f>H16/'工程概况'!G6</f>
        <v>8.015412950262746</v>
      </c>
      <c r="K16" s="70"/>
      <c r="L16" s="71">
        <f t="shared" si="1"/>
        <v>-4267.069999999992</v>
      </c>
      <c r="M16" s="72">
        <f t="shared" si="0"/>
        <v>-0.00011472889696623276</v>
      </c>
      <c r="N16" s="21"/>
    </row>
    <row r="17" spans="1:14" s="59" customFormat="1" ht="18.75" customHeight="1">
      <c r="A17" s="18"/>
      <c r="B17" s="21" t="s">
        <v>122</v>
      </c>
      <c r="C17" s="16" t="s">
        <v>123</v>
      </c>
      <c r="D17" s="17"/>
      <c r="E17" s="21">
        <v>310630</v>
      </c>
      <c r="F17" s="65">
        <f>E17/E21</f>
        <v>0.015429663219821069</v>
      </c>
      <c r="G17" s="66">
        <f>E17/'工程概况'!G6</f>
        <v>19.761938086089092</v>
      </c>
      <c r="H17" s="66">
        <v>301095.74</v>
      </c>
      <c r="I17" s="65">
        <f>H17/H21</f>
        <v>0.0157367900284296</v>
      </c>
      <c r="J17" s="69">
        <f>H17/'工程概况'!G6</f>
        <v>19.155378977771555</v>
      </c>
      <c r="K17" s="70"/>
      <c r="L17" s="71">
        <f t="shared" si="1"/>
        <v>-9534.26000000001</v>
      </c>
      <c r="M17" s="72">
        <f t="shared" si="0"/>
        <v>-0.0003071268086085304</v>
      </c>
      <c r="N17" s="21"/>
    </row>
    <row r="18" spans="1:14" s="59" customFormat="1" ht="18.75" customHeight="1">
      <c r="A18" s="18"/>
      <c r="B18" s="21" t="s">
        <v>124</v>
      </c>
      <c r="C18" s="16" t="s">
        <v>125</v>
      </c>
      <c r="D18" s="17"/>
      <c r="E18" s="21">
        <v>0</v>
      </c>
      <c r="F18" s="65">
        <f>E18/E21</f>
        <v>0</v>
      </c>
      <c r="G18" s="66">
        <f>E18/'工程概况'!G6</f>
        <v>0</v>
      </c>
      <c r="H18" s="66"/>
      <c r="I18" s="65">
        <f>H18/H21</f>
        <v>0</v>
      </c>
      <c r="J18" s="69">
        <f>H18/'工程概况'!G6</f>
        <v>0</v>
      </c>
      <c r="K18" s="70"/>
      <c r="L18" s="71">
        <f t="shared" si="1"/>
        <v>0</v>
      </c>
      <c r="M18" s="72">
        <f t="shared" si="0"/>
        <v>0</v>
      </c>
      <c r="N18" s="21"/>
    </row>
    <row r="19" spans="1:14" s="59" customFormat="1" ht="18.75" customHeight="1">
      <c r="A19" s="18"/>
      <c r="B19" s="21" t="s">
        <v>126</v>
      </c>
      <c r="C19" s="16" t="s">
        <v>127</v>
      </c>
      <c r="D19" s="17"/>
      <c r="E19" s="21">
        <v>219887.96</v>
      </c>
      <c r="F19" s="65">
        <f>E19/E21</f>
        <v>0.010922310043761022</v>
      </c>
      <c r="G19" s="66">
        <f>E19/'工程概况'!G6</f>
        <v>13.98902955733971</v>
      </c>
      <c r="H19" s="66">
        <v>208696.46</v>
      </c>
      <c r="I19" s="65">
        <f>H19/H21</f>
        <v>0.010907535160399669</v>
      </c>
      <c r="J19" s="69">
        <f>H19/'工程概况'!G6</f>
        <v>13.277038667565813</v>
      </c>
      <c r="K19" s="70"/>
      <c r="L19" s="71">
        <f t="shared" si="1"/>
        <v>-11191.5</v>
      </c>
      <c r="M19" s="72">
        <f t="shared" si="0"/>
        <v>1.47748833613532E-05</v>
      </c>
      <c r="N19" s="21"/>
    </row>
    <row r="20" spans="1:14" s="59" customFormat="1" ht="27" customHeight="1">
      <c r="A20" s="18"/>
      <c r="B20" s="21" t="s">
        <v>128</v>
      </c>
      <c r="C20" s="16" t="s">
        <v>129</v>
      </c>
      <c r="D20" s="17"/>
      <c r="E20" s="21">
        <v>1995063.19</v>
      </c>
      <c r="F20" s="65">
        <f>E20/E21</f>
        <v>0.09909909900512472</v>
      </c>
      <c r="G20" s="66">
        <f>E20/'工程概况'!G6</f>
        <v>126.92372030587966</v>
      </c>
      <c r="H20" s="66">
        <v>1579788.33</v>
      </c>
      <c r="I20" s="65">
        <f>H20/H21</f>
        <v>0.08256774818060679</v>
      </c>
      <c r="J20" s="69">
        <f>H20/'工程概况'!G6</f>
        <v>100.50439161248457</v>
      </c>
      <c r="K20" s="70"/>
      <c r="L20" s="71">
        <f t="shared" si="1"/>
        <v>-415274.85999999987</v>
      </c>
      <c r="M20" s="72">
        <f t="shared" si="0"/>
        <v>0.016531350824517926</v>
      </c>
      <c r="N20" s="21" t="s">
        <v>130</v>
      </c>
    </row>
    <row r="21" spans="1:14" s="59" customFormat="1" ht="18.75" customHeight="1">
      <c r="A21" s="20"/>
      <c r="B21" s="21"/>
      <c r="C21" s="16" t="s">
        <v>131</v>
      </c>
      <c r="D21" s="17"/>
      <c r="E21" s="21">
        <f>E11+E17+E19+E18+E20</f>
        <v>20132001.300000004</v>
      </c>
      <c r="F21" s="65">
        <f>E21/E21</f>
        <v>1</v>
      </c>
      <c r="G21" s="66">
        <f>E21/'工程概况'!G6</f>
        <v>1280.7757243011467</v>
      </c>
      <c r="H21" s="66">
        <f>H11+H17+H18+H19+H20</f>
        <v>19133237.43</v>
      </c>
      <c r="I21" s="65">
        <f>H21/H21</f>
        <v>1</v>
      </c>
      <c r="J21" s="69">
        <f>H21/'工程概况'!G6</f>
        <v>1217.2354681714655</v>
      </c>
      <c r="K21" s="70"/>
      <c r="L21" s="71">
        <f t="shared" si="1"/>
        <v>-998763.8700000048</v>
      </c>
      <c r="M21" s="72">
        <f t="shared" si="0"/>
        <v>0</v>
      </c>
      <c r="N21" s="21"/>
    </row>
    <row r="22" spans="10:11" s="59" customFormat="1" ht="14.25">
      <c r="J22" s="73"/>
      <c r="K22" s="73"/>
    </row>
  </sheetData>
  <sheetProtection/>
  <mergeCells count="46">
    <mergeCell ref="A1:N1"/>
    <mergeCell ref="A2:C2"/>
    <mergeCell ref="D2:H2"/>
    <mergeCell ref="I2:J2"/>
    <mergeCell ref="K2:N2"/>
    <mergeCell ref="L3:M3"/>
    <mergeCell ref="C5:D5"/>
    <mergeCell ref="J5:K5"/>
    <mergeCell ref="C6:D6"/>
    <mergeCell ref="J6:K6"/>
    <mergeCell ref="C7:D7"/>
    <mergeCell ref="J7:K7"/>
    <mergeCell ref="C8:D8"/>
    <mergeCell ref="J8:K8"/>
    <mergeCell ref="C9:D9"/>
    <mergeCell ref="J9:K9"/>
    <mergeCell ref="C10:D10"/>
    <mergeCell ref="J10:K10"/>
    <mergeCell ref="C11:D11"/>
    <mergeCell ref="J11:K11"/>
    <mergeCell ref="C12:D12"/>
    <mergeCell ref="J12:K12"/>
    <mergeCell ref="C13:D13"/>
    <mergeCell ref="J13:K13"/>
    <mergeCell ref="C14:D14"/>
    <mergeCell ref="J14:K14"/>
    <mergeCell ref="C15:D15"/>
    <mergeCell ref="J15:K15"/>
    <mergeCell ref="C16:D16"/>
    <mergeCell ref="J16:K16"/>
    <mergeCell ref="C17:D17"/>
    <mergeCell ref="J17:K17"/>
    <mergeCell ref="C18:D18"/>
    <mergeCell ref="J18:K18"/>
    <mergeCell ref="C19:D19"/>
    <mergeCell ref="J19:K19"/>
    <mergeCell ref="C20:D20"/>
    <mergeCell ref="J20:K20"/>
    <mergeCell ref="C21:D21"/>
    <mergeCell ref="J21:K21"/>
    <mergeCell ref="A5:A21"/>
    <mergeCell ref="B12:B16"/>
    <mergeCell ref="G3:G4"/>
    <mergeCell ref="N3:N4"/>
    <mergeCell ref="A3:D4"/>
    <mergeCell ref="J3:K4"/>
  </mergeCells>
  <printOptions/>
  <pageMargins left="0.75" right="0.75" top="1" bottom="1" header="0.5" footer="0.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66"/>
  <sheetViews>
    <sheetView workbookViewId="0" topLeftCell="A1">
      <pane ySplit="4" topLeftCell="A56" activePane="bottomLeft" state="frozen"/>
      <selection pane="bottomLeft" activeCell="B7" sqref="B7:B51"/>
    </sheetView>
  </sheetViews>
  <sheetFormatPr defaultColWidth="9.00390625" defaultRowHeight="14.25"/>
  <cols>
    <col min="1" max="1" width="9.00390625" style="1" customWidth="1"/>
    <col min="2" max="2" width="13.75390625" style="36" customWidth="1"/>
    <col min="3" max="3" width="21.875" style="36" customWidth="1"/>
    <col min="4" max="4" width="9.00390625" style="37" customWidth="1"/>
    <col min="5" max="5" width="10.25390625" style="1" customWidth="1"/>
    <col min="6" max="6" width="10.50390625" style="1" customWidth="1"/>
    <col min="7" max="7" width="9.50390625" style="1" customWidth="1"/>
    <col min="8" max="8" width="10.875" style="1" customWidth="1"/>
    <col min="9" max="9" width="11.50390625" style="38" bestFit="1" customWidth="1"/>
    <col min="10" max="10" width="12.25390625" style="38" customWidth="1"/>
    <col min="11" max="11" width="11.625" style="1" bestFit="1" customWidth="1"/>
    <col min="12" max="12" width="12.375" style="1" customWidth="1"/>
    <col min="13" max="13" width="11.625" style="38" bestFit="1" customWidth="1"/>
    <col min="14" max="14" width="17.875" style="37" customWidth="1"/>
    <col min="15" max="32" width="9.00390625" style="1" customWidth="1"/>
    <col min="33" max="16384" width="8.75390625" style="1" bestFit="1" customWidth="1"/>
  </cols>
  <sheetData>
    <row r="1" spans="1:14" ht="18.75" customHeight="1">
      <c r="A1" s="2" t="s">
        <v>138</v>
      </c>
      <c r="B1" s="2"/>
      <c r="C1" s="2"/>
      <c r="D1" s="2"/>
      <c r="E1" s="2"/>
      <c r="F1" s="2"/>
      <c r="G1" s="2"/>
      <c r="H1" s="2"/>
      <c r="I1" s="55"/>
      <c r="J1" s="2"/>
      <c r="K1" s="2"/>
      <c r="L1" s="2"/>
      <c r="M1" s="2"/>
      <c r="N1" s="2"/>
    </row>
    <row r="2" spans="1:14" ht="12.75">
      <c r="A2" s="3" t="s">
        <v>139</v>
      </c>
      <c r="B2" s="39" t="s">
        <v>140</v>
      </c>
      <c r="C2" s="39" t="s">
        <v>99</v>
      </c>
      <c r="D2" s="3" t="s">
        <v>141</v>
      </c>
      <c r="E2" s="3" t="s">
        <v>142</v>
      </c>
      <c r="F2" s="3"/>
      <c r="G2" s="3" t="s">
        <v>143</v>
      </c>
      <c r="H2" s="3"/>
      <c r="I2" s="56" t="s">
        <v>144</v>
      </c>
      <c r="J2" s="3"/>
      <c r="K2" s="3" t="s">
        <v>145</v>
      </c>
      <c r="L2" s="3"/>
      <c r="M2" s="3"/>
      <c r="N2" s="3" t="s">
        <v>71</v>
      </c>
    </row>
    <row r="3" spans="1:14" ht="12.75">
      <c r="A3" s="3"/>
      <c r="B3" s="40"/>
      <c r="C3" s="40"/>
      <c r="D3" s="3"/>
      <c r="E3" s="3" t="s">
        <v>146</v>
      </c>
      <c r="F3" s="3" t="s">
        <v>147</v>
      </c>
      <c r="G3" s="3" t="s">
        <v>148</v>
      </c>
      <c r="H3" s="3" t="s">
        <v>147</v>
      </c>
      <c r="I3" s="56" t="s">
        <v>148</v>
      </c>
      <c r="J3" s="56" t="s">
        <v>147</v>
      </c>
      <c r="K3" s="3" t="s">
        <v>142</v>
      </c>
      <c r="L3" s="3" t="s">
        <v>149</v>
      </c>
      <c r="M3" s="56" t="s">
        <v>150</v>
      </c>
      <c r="N3" s="3"/>
    </row>
    <row r="4" spans="1:14" ht="12.75">
      <c r="A4" s="3"/>
      <c r="B4" s="41"/>
      <c r="C4" s="41"/>
      <c r="D4" s="3"/>
      <c r="E4" s="3"/>
      <c r="F4" s="3" t="s">
        <v>151</v>
      </c>
      <c r="G4" s="3" t="s">
        <v>152</v>
      </c>
      <c r="H4" s="3" t="s">
        <v>152</v>
      </c>
      <c r="I4" s="56" t="s">
        <v>150</v>
      </c>
      <c r="J4" s="56" t="s">
        <v>150</v>
      </c>
      <c r="K4" s="3"/>
      <c r="L4" s="3"/>
      <c r="M4" s="56"/>
      <c r="N4" s="3"/>
    </row>
    <row r="5" spans="1:14" s="34" customFormat="1" ht="42" customHeight="1">
      <c r="A5" s="42">
        <v>1</v>
      </c>
      <c r="B5" s="43">
        <v>10101002001</v>
      </c>
      <c r="C5" s="44" t="s">
        <v>153</v>
      </c>
      <c r="D5" s="45" t="s">
        <v>154</v>
      </c>
      <c r="E5" s="46" t="s">
        <v>155</v>
      </c>
      <c r="F5" s="46" t="s">
        <v>156</v>
      </c>
      <c r="G5" s="46" t="s">
        <v>157</v>
      </c>
      <c r="H5" s="46" t="s">
        <v>158</v>
      </c>
      <c r="I5" s="46" t="s">
        <v>159</v>
      </c>
      <c r="J5" s="46" t="s">
        <v>160</v>
      </c>
      <c r="K5" s="46">
        <f aca="true" t="shared" si="0" ref="K5:K52">F5-E5</f>
        <v>-2912.4500000000044</v>
      </c>
      <c r="L5" s="46">
        <f aca="true" t="shared" si="1" ref="L5:L52">H5-G5</f>
        <v>-0.02000000000000135</v>
      </c>
      <c r="M5" s="46">
        <f aca="true" t="shared" si="2" ref="M5:M52">J5-I5</f>
        <v>-39116.7699999999</v>
      </c>
      <c r="N5" s="57" t="s">
        <v>161</v>
      </c>
    </row>
    <row r="6" spans="1:14" s="34" customFormat="1" ht="30.75" customHeight="1">
      <c r="A6" s="42">
        <v>2</v>
      </c>
      <c r="B6" s="43">
        <v>10103001004</v>
      </c>
      <c r="C6" s="44" t="s">
        <v>162</v>
      </c>
      <c r="D6" s="45" t="s">
        <v>154</v>
      </c>
      <c r="E6" s="46" t="s">
        <v>163</v>
      </c>
      <c r="F6" s="46" t="s">
        <v>164</v>
      </c>
      <c r="G6" s="46" t="s">
        <v>165</v>
      </c>
      <c r="H6" s="46" t="s">
        <v>165</v>
      </c>
      <c r="I6" s="46" t="s">
        <v>166</v>
      </c>
      <c r="J6" s="46" t="s">
        <v>167</v>
      </c>
      <c r="K6" s="46">
        <f t="shared" si="0"/>
        <v>-3355.5200000000004</v>
      </c>
      <c r="L6" s="46">
        <f t="shared" si="1"/>
        <v>0</v>
      </c>
      <c r="M6" s="46">
        <f t="shared" si="2"/>
        <v>-58151.15999999999</v>
      </c>
      <c r="N6" s="57" t="s">
        <v>168</v>
      </c>
    </row>
    <row r="7" spans="1:14" s="34" customFormat="1" ht="30.75" customHeight="1">
      <c r="A7" s="42">
        <v>3</v>
      </c>
      <c r="B7" s="43">
        <v>10103002001</v>
      </c>
      <c r="C7" s="44" t="s">
        <v>169</v>
      </c>
      <c r="D7" s="45" t="s">
        <v>154</v>
      </c>
      <c r="E7" s="46" t="s">
        <v>170</v>
      </c>
      <c r="F7" s="46" t="s">
        <v>171</v>
      </c>
      <c r="G7" s="46" t="s">
        <v>172</v>
      </c>
      <c r="H7" s="46" t="s">
        <v>173</v>
      </c>
      <c r="I7" s="46" t="s">
        <v>174</v>
      </c>
      <c r="J7" s="46" t="s">
        <v>175</v>
      </c>
      <c r="K7" s="46">
        <f t="shared" si="0"/>
        <v>-1065.6299999999974</v>
      </c>
      <c r="L7" s="46">
        <f t="shared" si="1"/>
        <v>-0.02000000000000135</v>
      </c>
      <c r="M7" s="46">
        <f t="shared" si="2"/>
        <v>-16389.349999999977</v>
      </c>
      <c r="N7" s="57" t="s">
        <v>161</v>
      </c>
    </row>
    <row r="8" spans="1:14" s="34" customFormat="1" ht="59.25" customHeight="1">
      <c r="A8" s="42">
        <v>4</v>
      </c>
      <c r="B8" s="43">
        <v>10501004001</v>
      </c>
      <c r="C8" s="44" t="s">
        <v>176</v>
      </c>
      <c r="D8" s="45" t="s">
        <v>154</v>
      </c>
      <c r="E8" s="46" t="s">
        <v>177</v>
      </c>
      <c r="F8" s="46" t="s">
        <v>178</v>
      </c>
      <c r="G8" s="46" t="s">
        <v>179</v>
      </c>
      <c r="H8" s="46" t="s">
        <v>179</v>
      </c>
      <c r="I8" s="46" t="s">
        <v>180</v>
      </c>
      <c r="J8" s="46" t="s">
        <v>181</v>
      </c>
      <c r="K8" s="46">
        <f t="shared" si="0"/>
        <v>-175.3800000000001</v>
      </c>
      <c r="L8" s="46">
        <f t="shared" si="1"/>
        <v>0</v>
      </c>
      <c r="M8" s="46">
        <f t="shared" si="2"/>
        <v>-90290.88000000012</v>
      </c>
      <c r="N8" s="57" t="s">
        <v>168</v>
      </c>
    </row>
    <row r="9" spans="1:14" s="34" customFormat="1" ht="78" customHeight="1">
      <c r="A9" s="42">
        <v>5</v>
      </c>
      <c r="B9" s="43">
        <v>10504001001</v>
      </c>
      <c r="C9" s="44" t="s">
        <v>182</v>
      </c>
      <c r="D9" s="45" t="s">
        <v>154</v>
      </c>
      <c r="E9" s="46" t="s">
        <v>183</v>
      </c>
      <c r="F9" s="46" t="s">
        <v>184</v>
      </c>
      <c r="G9" s="46" t="s">
        <v>185</v>
      </c>
      <c r="H9" s="46" t="s">
        <v>185</v>
      </c>
      <c r="I9" s="46" t="s">
        <v>186</v>
      </c>
      <c r="J9" s="46" t="s">
        <v>187</v>
      </c>
      <c r="K9" s="46">
        <f t="shared" si="0"/>
        <v>93.98999999999995</v>
      </c>
      <c r="L9" s="46">
        <f t="shared" si="1"/>
        <v>0</v>
      </c>
      <c r="M9" s="46">
        <f t="shared" si="2"/>
        <v>51714.24000000002</v>
      </c>
      <c r="N9" s="57" t="s">
        <v>168</v>
      </c>
    </row>
    <row r="10" spans="1:14" s="34" customFormat="1" ht="57.75" customHeight="1">
      <c r="A10" s="42">
        <v>6</v>
      </c>
      <c r="B10" s="43">
        <v>10504001002</v>
      </c>
      <c r="C10" s="44" t="s">
        <v>182</v>
      </c>
      <c r="D10" s="45" t="s">
        <v>154</v>
      </c>
      <c r="E10" s="46" t="s">
        <v>188</v>
      </c>
      <c r="F10" s="46" t="s">
        <v>189</v>
      </c>
      <c r="G10" s="46" t="s">
        <v>185</v>
      </c>
      <c r="H10" s="46" t="s">
        <v>185</v>
      </c>
      <c r="I10" s="46" t="s">
        <v>190</v>
      </c>
      <c r="J10" s="46" t="s">
        <v>191</v>
      </c>
      <c r="K10" s="46">
        <f t="shared" si="0"/>
        <v>47.849999999999994</v>
      </c>
      <c r="L10" s="46">
        <f t="shared" si="1"/>
        <v>0</v>
      </c>
      <c r="M10" s="46">
        <f t="shared" si="2"/>
        <v>26327.54999999999</v>
      </c>
      <c r="N10" s="57" t="s">
        <v>168</v>
      </c>
    </row>
    <row r="11" spans="1:14" s="34" customFormat="1" ht="42" customHeight="1">
      <c r="A11" s="42">
        <v>7</v>
      </c>
      <c r="B11" s="43">
        <v>10505001002</v>
      </c>
      <c r="C11" s="44" t="s">
        <v>192</v>
      </c>
      <c r="D11" s="45" t="s">
        <v>154</v>
      </c>
      <c r="E11" s="46" t="s">
        <v>193</v>
      </c>
      <c r="F11" s="46" t="s">
        <v>194</v>
      </c>
      <c r="G11" s="46" t="s">
        <v>195</v>
      </c>
      <c r="H11" s="46" t="s">
        <v>195</v>
      </c>
      <c r="I11" s="46" t="s">
        <v>196</v>
      </c>
      <c r="J11" s="46" t="s">
        <v>197</v>
      </c>
      <c r="K11" s="46">
        <f t="shared" si="0"/>
        <v>-24.68999999999994</v>
      </c>
      <c r="L11" s="46">
        <f t="shared" si="1"/>
        <v>0</v>
      </c>
      <c r="M11" s="46">
        <f t="shared" si="2"/>
        <v>-13616.03999999992</v>
      </c>
      <c r="N11" s="57" t="s">
        <v>168</v>
      </c>
    </row>
    <row r="12" spans="1:14" s="34" customFormat="1" ht="75" customHeight="1">
      <c r="A12" s="42">
        <v>8</v>
      </c>
      <c r="B12" s="43">
        <v>10508001003</v>
      </c>
      <c r="C12" s="44" t="s">
        <v>198</v>
      </c>
      <c r="D12" s="45" t="s">
        <v>154</v>
      </c>
      <c r="E12" s="46" t="s">
        <v>199</v>
      </c>
      <c r="F12" s="46" t="s">
        <v>200</v>
      </c>
      <c r="G12" s="46" t="s">
        <v>201</v>
      </c>
      <c r="H12" s="46" t="s">
        <v>201</v>
      </c>
      <c r="I12" s="46" t="s">
        <v>202</v>
      </c>
      <c r="J12" s="46" t="s">
        <v>203</v>
      </c>
      <c r="K12" s="46">
        <f t="shared" si="0"/>
        <v>-36.82</v>
      </c>
      <c r="L12" s="46">
        <f t="shared" si="1"/>
        <v>0</v>
      </c>
      <c r="M12" s="46">
        <f t="shared" si="2"/>
        <v>-19519.39</v>
      </c>
      <c r="N12" s="57" t="s">
        <v>168</v>
      </c>
    </row>
    <row r="13" spans="1:14" s="34" customFormat="1" ht="60" customHeight="1">
      <c r="A13" s="42">
        <v>9</v>
      </c>
      <c r="B13" s="43">
        <v>10515001001</v>
      </c>
      <c r="C13" s="44" t="s">
        <v>204</v>
      </c>
      <c r="D13" s="45" t="s">
        <v>205</v>
      </c>
      <c r="E13" s="46" t="s">
        <v>206</v>
      </c>
      <c r="F13" s="46" t="s">
        <v>207</v>
      </c>
      <c r="G13" s="46" t="s">
        <v>208</v>
      </c>
      <c r="H13" s="46" t="s">
        <v>208</v>
      </c>
      <c r="I13" s="46" t="s">
        <v>209</v>
      </c>
      <c r="J13" s="46" t="s">
        <v>210</v>
      </c>
      <c r="K13" s="46">
        <f t="shared" si="0"/>
        <v>11.927000000000021</v>
      </c>
      <c r="L13" s="46">
        <f t="shared" si="1"/>
        <v>0</v>
      </c>
      <c r="M13" s="46">
        <f t="shared" si="2"/>
        <v>60562.320000000065</v>
      </c>
      <c r="N13" s="57" t="s">
        <v>168</v>
      </c>
    </row>
    <row r="14" spans="1:14" s="34" customFormat="1" ht="59.25" customHeight="1">
      <c r="A14" s="42">
        <v>10</v>
      </c>
      <c r="B14" s="43">
        <v>10515001002</v>
      </c>
      <c r="C14" s="44" t="s">
        <v>204</v>
      </c>
      <c r="D14" s="45" t="s">
        <v>205</v>
      </c>
      <c r="E14" s="46" t="s">
        <v>211</v>
      </c>
      <c r="F14" s="46" t="s">
        <v>212</v>
      </c>
      <c r="G14" s="46" t="s">
        <v>213</v>
      </c>
      <c r="H14" s="46" t="s">
        <v>213</v>
      </c>
      <c r="I14" s="46" t="s">
        <v>214</v>
      </c>
      <c r="J14" s="46" t="s">
        <v>215</v>
      </c>
      <c r="K14" s="46">
        <f t="shared" si="0"/>
        <v>32.319000000000074</v>
      </c>
      <c r="L14" s="46">
        <f t="shared" si="1"/>
        <v>0</v>
      </c>
      <c r="M14" s="46">
        <f t="shared" si="2"/>
        <v>146055.3799999999</v>
      </c>
      <c r="N14" s="57" t="s">
        <v>168</v>
      </c>
    </row>
    <row r="15" spans="1:14" s="34" customFormat="1" ht="39" customHeight="1">
      <c r="A15" s="42">
        <v>11</v>
      </c>
      <c r="B15" s="43">
        <v>10516004001</v>
      </c>
      <c r="C15" s="44" t="s">
        <v>216</v>
      </c>
      <c r="D15" s="45" t="s">
        <v>217</v>
      </c>
      <c r="E15" s="46" t="s">
        <v>218</v>
      </c>
      <c r="F15" s="46" t="s">
        <v>219</v>
      </c>
      <c r="G15" s="46" t="s">
        <v>220</v>
      </c>
      <c r="H15" s="46" t="s">
        <v>220</v>
      </c>
      <c r="I15" s="46" t="s">
        <v>221</v>
      </c>
      <c r="J15" s="46" t="s">
        <v>222</v>
      </c>
      <c r="K15" s="46">
        <f t="shared" si="0"/>
        <v>-2872</v>
      </c>
      <c r="L15" s="46">
        <f t="shared" si="1"/>
        <v>0</v>
      </c>
      <c r="M15" s="46">
        <f t="shared" si="2"/>
        <v>-20218.88</v>
      </c>
      <c r="N15" s="57" t="s">
        <v>168</v>
      </c>
    </row>
    <row r="16" spans="1:14" s="34" customFormat="1" ht="29.25" customHeight="1">
      <c r="A16" s="42">
        <v>12</v>
      </c>
      <c r="B16" s="43">
        <v>11201001001</v>
      </c>
      <c r="C16" s="44" t="s">
        <v>223</v>
      </c>
      <c r="D16" s="45" t="s">
        <v>224</v>
      </c>
      <c r="E16" s="46" t="s">
        <v>225</v>
      </c>
      <c r="F16" s="46" t="s">
        <v>225</v>
      </c>
      <c r="G16" s="46" t="s">
        <v>226</v>
      </c>
      <c r="H16" s="46" t="s">
        <v>227</v>
      </c>
      <c r="I16" s="46" t="s">
        <v>228</v>
      </c>
      <c r="J16" s="46" t="s">
        <v>229</v>
      </c>
      <c r="K16" s="46">
        <f t="shared" si="0"/>
        <v>0</v>
      </c>
      <c r="L16" s="46">
        <f t="shared" si="1"/>
        <v>-23.81</v>
      </c>
      <c r="M16" s="46">
        <f t="shared" si="2"/>
        <v>-91951.59999999999</v>
      </c>
      <c r="N16" s="57" t="s">
        <v>230</v>
      </c>
    </row>
    <row r="17" spans="1:14" s="34" customFormat="1" ht="34.5" customHeight="1">
      <c r="A17" s="42">
        <v>13</v>
      </c>
      <c r="B17" s="43">
        <v>11702011001</v>
      </c>
      <c r="C17" s="44" t="s">
        <v>182</v>
      </c>
      <c r="D17" s="45" t="s">
        <v>224</v>
      </c>
      <c r="E17" s="46" t="s">
        <v>231</v>
      </c>
      <c r="F17" s="46" t="s">
        <v>232</v>
      </c>
      <c r="G17" s="46" t="s">
        <v>233</v>
      </c>
      <c r="H17" s="46" t="s">
        <v>233</v>
      </c>
      <c r="I17" s="46" t="s">
        <v>234</v>
      </c>
      <c r="J17" s="46" t="s">
        <v>235</v>
      </c>
      <c r="K17" s="46">
        <f t="shared" si="0"/>
        <v>481.2199999999998</v>
      </c>
      <c r="L17" s="46">
        <f t="shared" si="1"/>
        <v>0</v>
      </c>
      <c r="M17" s="46">
        <f t="shared" si="2"/>
        <v>36327.30000000002</v>
      </c>
      <c r="N17" s="57" t="s">
        <v>168</v>
      </c>
    </row>
    <row r="18" spans="1:14" s="34" customFormat="1" ht="34.5" customHeight="1">
      <c r="A18" s="42">
        <v>14</v>
      </c>
      <c r="B18" s="43">
        <v>11702011003</v>
      </c>
      <c r="C18" s="44" t="s">
        <v>182</v>
      </c>
      <c r="D18" s="45" t="s">
        <v>224</v>
      </c>
      <c r="E18" s="46" t="s">
        <v>236</v>
      </c>
      <c r="F18" s="46" t="s">
        <v>237</v>
      </c>
      <c r="G18" s="46" t="s">
        <v>238</v>
      </c>
      <c r="H18" s="46" t="s">
        <v>238</v>
      </c>
      <c r="I18" s="46" t="s">
        <v>239</v>
      </c>
      <c r="J18" s="46" t="s">
        <v>240</v>
      </c>
      <c r="K18" s="46">
        <f t="shared" si="0"/>
        <v>196.17999999999995</v>
      </c>
      <c r="L18" s="46">
        <f t="shared" si="1"/>
        <v>0</v>
      </c>
      <c r="M18" s="46">
        <f t="shared" si="2"/>
        <v>12190.629999999997</v>
      </c>
      <c r="N18" s="57" t="s">
        <v>168</v>
      </c>
    </row>
    <row r="19" spans="1:14" s="34" customFormat="1" ht="34.5" customHeight="1">
      <c r="A19" s="42">
        <v>15</v>
      </c>
      <c r="B19" s="43">
        <v>11702014002</v>
      </c>
      <c r="C19" s="44" t="s">
        <v>192</v>
      </c>
      <c r="D19" s="45" t="s">
        <v>224</v>
      </c>
      <c r="E19" s="46" t="s">
        <v>241</v>
      </c>
      <c r="F19" s="46" t="s">
        <v>242</v>
      </c>
      <c r="G19" s="46" t="s">
        <v>243</v>
      </c>
      <c r="H19" s="46" t="s">
        <v>243</v>
      </c>
      <c r="I19" s="46" t="s">
        <v>244</v>
      </c>
      <c r="J19" s="46" t="s">
        <v>245</v>
      </c>
      <c r="K19" s="46">
        <f t="shared" si="0"/>
        <v>-123.44999999999982</v>
      </c>
      <c r="L19" s="46">
        <f t="shared" si="1"/>
        <v>0</v>
      </c>
      <c r="M19" s="46">
        <f t="shared" si="2"/>
        <v>-10198.210000000021</v>
      </c>
      <c r="N19" s="57" t="s">
        <v>168</v>
      </c>
    </row>
    <row r="20" spans="1:14" s="34" customFormat="1" ht="34.5" customHeight="1">
      <c r="A20" s="42">
        <v>16</v>
      </c>
      <c r="B20" s="43">
        <v>10401008002</v>
      </c>
      <c r="C20" s="44" t="s">
        <v>246</v>
      </c>
      <c r="D20" s="45" t="s">
        <v>154</v>
      </c>
      <c r="E20" s="46" t="s">
        <v>247</v>
      </c>
      <c r="F20" s="46" t="s">
        <v>248</v>
      </c>
      <c r="G20" s="46" t="s">
        <v>249</v>
      </c>
      <c r="H20" s="46" t="s">
        <v>249</v>
      </c>
      <c r="I20" s="46" t="s">
        <v>250</v>
      </c>
      <c r="J20" s="46" t="s">
        <v>251</v>
      </c>
      <c r="K20" s="46">
        <f t="shared" si="0"/>
        <v>34.969999999999914</v>
      </c>
      <c r="L20" s="46">
        <f t="shared" si="1"/>
        <v>0</v>
      </c>
      <c r="M20" s="46">
        <f t="shared" si="2"/>
        <v>13987.300000000017</v>
      </c>
      <c r="N20" s="57" t="s">
        <v>168</v>
      </c>
    </row>
    <row r="21" spans="1:14" s="34" customFormat="1" ht="34.5" customHeight="1">
      <c r="A21" s="42">
        <v>17</v>
      </c>
      <c r="B21" s="43">
        <v>10502002001</v>
      </c>
      <c r="C21" s="44" t="s">
        <v>252</v>
      </c>
      <c r="D21" s="45" t="s">
        <v>154</v>
      </c>
      <c r="E21" s="46" t="s">
        <v>253</v>
      </c>
      <c r="F21" s="46" t="s">
        <v>254</v>
      </c>
      <c r="G21" s="46" t="s">
        <v>255</v>
      </c>
      <c r="H21" s="46" t="s">
        <v>255</v>
      </c>
      <c r="I21" s="46" t="s">
        <v>256</v>
      </c>
      <c r="J21" s="46" t="s">
        <v>257</v>
      </c>
      <c r="K21" s="46">
        <f t="shared" si="0"/>
        <v>-35.5</v>
      </c>
      <c r="L21" s="46">
        <f t="shared" si="1"/>
        <v>0</v>
      </c>
      <c r="M21" s="46">
        <f t="shared" si="2"/>
        <v>-22716.800000000003</v>
      </c>
      <c r="N21" s="57" t="s">
        <v>168</v>
      </c>
    </row>
    <row r="22" spans="1:14" s="34" customFormat="1" ht="34.5" customHeight="1">
      <c r="A22" s="42">
        <v>18</v>
      </c>
      <c r="B22" s="43">
        <v>10502002002</v>
      </c>
      <c r="C22" s="44" t="s">
        <v>252</v>
      </c>
      <c r="D22" s="45" t="s">
        <v>154</v>
      </c>
      <c r="E22" s="46" t="s">
        <v>258</v>
      </c>
      <c r="F22" s="46" t="s">
        <v>259</v>
      </c>
      <c r="G22" s="46" t="s">
        <v>260</v>
      </c>
      <c r="H22" s="46" t="s">
        <v>261</v>
      </c>
      <c r="I22" s="46" t="s">
        <v>262</v>
      </c>
      <c r="J22" s="46" t="s">
        <v>263</v>
      </c>
      <c r="K22" s="46">
        <f t="shared" si="0"/>
        <v>-24.629999999999995</v>
      </c>
      <c r="L22" s="46">
        <f t="shared" si="1"/>
        <v>-1017.2800000000001</v>
      </c>
      <c r="M22" s="46">
        <f t="shared" si="2"/>
        <v>-83688.53</v>
      </c>
      <c r="N22" s="57" t="s">
        <v>230</v>
      </c>
    </row>
    <row r="23" spans="1:14" s="34" customFormat="1" ht="34.5" customHeight="1">
      <c r="A23" s="42">
        <v>19</v>
      </c>
      <c r="B23" s="43">
        <v>10505001001</v>
      </c>
      <c r="C23" s="44" t="s">
        <v>192</v>
      </c>
      <c r="D23" s="45" t="s">
        <v>154</v>
      </c>
      <c r="E23" s="46" t="s">
        <v>264</v>
      </c>
      <c r="F23" s="46" t="s">
        <v>265</v>
      </c>
      <c r="G23" s="46" t="s">
        <v>266</v>
      </c>
      <c r="H23" s="46" t="s">
        <v>266</v>
      </c>
      <c r="I23" s="46" t="s">
        <v>267</v>
      </c>
      <c r="J23" s="46" t="s">
        <v>268</v>
      </c>
      <c r="K23" s="46">
        <f t="shared" si="0"/>
        <v>-23.579999999999927</v>
      </c>
      <c r="L23" s="46">
        <f t="shared" si="1"/>
        <v>0</v>
      </c>
      <c r="M23" s="46">
        <f t="shared" si="2"/>
        <v>-11371.219999999972</v>
      </c>
      <c r="N23" s="57" t="s">
        <v>168</v>
      </c>
    </row>
    <row r="24" spans="1:14" s="34" customFormat="1" ht="34.5" customHeight="1">
      <c r="A24" s="42">
        <v>20</v>
      </c>
      <c r="B24" s="43">
        <v>10515001003</v>
      </c>
      <c r="C24" s="44" t="s">
        <v>204</v>
      </c>
      <c r="D24" s="45" t="s">
        <v>205</v>
      </c>
      <c r="E24" s="46" t="s">
        <v>269</v>
      </c>
      <c r="F24" s="46" t="s">
        <v>270</v>
      </c>
      <c r="G24" s="46" t="s">
        <v>271</v>
      </c>
      <c r="H24" s="46" t="s">
        <v>271</v>
      </c>
      <c r="I24" s="46" t="s">
        <v>272</v>
      </c>
      <c r="J24" s="46" t="s">
        <v>273</v>
      </c>
      <c r="K24" s="46">
        <f t="shared" si="0"/>
        <v>-11.382999999999981</v>
      </c>
      <c r="L24" s="46">
        <f t="shared" si="1"/>
        <v>0</v>
      </c>
      <c r="M24" s="46">
        <f t="shared" si="2"/>
        <v>-58334.11999999988</v>
      </c>
      <c r="N24" s="57" t="s">
        <v>168</v>
      </c>
    </row>
    <row r="25" spans="1:14" s="34" customFormat="1" ht="34.5" customHeight="1">
      <c r="A25" s="42">
        <v>21</v>
      </c>
      <c r="B25" s="43">
        <v>10515001004</v>
      </c>
      <c r="C25" s="44" t="s">
        <v>204</v>
      </c>
      <c r="D25" s="45" t="s">
        <v>205</v>
      </c>
      <c r="E25" s="46" t="s">
        <v>274</v>
      </c>
      <c r="F25" s="46" t="s">
        <v>275</v>
      </c>
      <c r="G25" s="46" t="s">
        <v>276</v>
      </c>
      <c r="H25" s="46" t="s">
        <v>276</v>
      </c>
      <c r="I25" s="46" t="s">
        <v>277</v>
      </c>
      <c r="J25" s="46" t="s">
        <v>278</v>
      </c>
      <c r="K25" s="46">
        <f t="shared" si="0"/>
        <v>-7.127999999999986</v>
      </c>
      <c r="L25" s="46">
        <f t="shared" si="1"/>
        <v>0</v>
      </c>
      <c r="M25" s="46">
        <f t="shared" si="2"/>
        <v>-32547.160000000033</v>
      </c>
      <c r="N25" s="57" t="s">
        <v>168</v>
      </c>
    </row>
    <row r="26" spans="1:14" s="34" customFormat="1" ht="34.5" customHeight="1">
      <c r="A26" s="42">
        <v>22</v>
      </c>
      <c r="B26" s="43">
        <v>10515001005</v>
      </c>
      <c r="C26" s="44" t="s">
        <v>204</v>
      </c>
      <c r="D26" s="45" t="s">
        <v>205</v>
      </c>
      <c r="E26" s="46" t="s">
        <v>279</v>
      </c>
      <c r="F26" s="46" t="s">
        <v>280</v>
      </c>
      <c r="G26" s="46" t="s">
        <v>281</v>
      </c>
      <c r="H26" s="46" t="s">
        <v>281</v>
      </c>
      <c r="I26" s="46" t="s">
        <v>282</v>
      </c>
      <c r="J26" s="46" t="s">
        <v>283</v>
      </c>
      <c r="K26" s="46">
        <f t="shared" si="0"/>
        <v>-4.079000000000001</v>
      </c>
      <c r="L26" s="46">
        <f t="shared" si="1"/>
        <v>0</v>
      </c>
      <c r="M26" s="46">
        <f t="shared" si="2"/>
        <v>-27353.65</v>
      </c>
      <c r="N26" s="57" t="s">
        <v>168</v>
      </c>
    </row>
    <row r="27" spans="1:14" s="34" customFormat="1" ht="34.5" customHeight="1">
      <c r="A27" s="42">
        <v>23</v>
      </c>
      <c r="B27" s="43">
        <v>10802001001</v>
      </c>
      <c r="C27" s="44" t="s">
        <v>284</v>
      </c>
      <c r="D27" s="45" t="s">
        <v>224</v>
      </c>
      <c r="E27" s="46" t="s">
        <v>285</v>
      </c>
      <c r="F27" s="46" t="s">
        <v>286</v>
      </c>
      <c r="G27" s="46" t="s">
        <v>287</v>
      </c>
      <c r="H27" s="46" t="s">
        <v>287</v>
      </c>
      <c r="I27" s="46" t="s">
        <v>288</v>
      </c>
      <c r="J27" s="46" t="s">
        <v>289</v>
      </c>
      <c r="K27" s="46">
        <f t="shared" si="0"/>
        <v>56.150000000000034</v>
      </c>
      <c r="L27" s="46">
        <f t="shared" si="1"/>
        <v>0</v>
      </c>
      <c r="M27" s="46">
        <f t="shared" si="2"/>
        <v>36189.22999999998</v>
      </c>
      <c r="N27" s="57" t="s">
        <v>168</v>
      </c>
    </row>
    <row r="28" spans="1:14" s="34" customFormat="1" ht="34.5" customHeight="1">
      <c r="A28" s="42">
        <v>24</v>
      </c>
      <c r="B28" s="43">
        <v>10807001001</v>
      </c>
      <c r="C28" s="44" t="s">
        <v>290</v>
      </c>
      <c r="D28" s="45" t="s">
        <v>224</v>
      </c>
      <c r="E28" s="46" t="s">
        <v>291</v>
      </c>
      <c r="F28" s="46" t="s">
        <v>292</v>
      </c>
      <c r="G28" s="46" t="s">
        <v>293</v>
      </c>
      <c r="H28" s="46" t="s">
        <v>293</v>
      </c>
      <c r="I28" s="46" t="s">
        <v>294</v>
      </c>
      <c r="J28" s="46" t="s">
        <v>295</v>
      </c>
      <c r="K28" s="46">
        <f t="shared" si="0"/>
        <v>86.73000000000002</v>
      </c>
      <c r="L28" s="46">
        <f t="shared" si="1"/>
        <v>0</v>
      </c>
      <c r="M28" s="46">
        <f t="shared" si="2"/>
        <v>55597.40000000002</v>
      </c>
      <c r="N28" s="57" t="s">
        <v>168</v>
      </c>
    </row>
    <row r="29" spans="1:14" s="34" customFormat="1" ht="34.5" customHeight="1">
      <c r="A29" s="42">
        <v>25</v>
      </c>
      <c r="B29" s="43">
        <v>10903002001</v>
      </c>
      <c r="C29" s="44" t="s">
        <v>296</v>
      </c>
      <c r="D29" s="45" t="s">
        <v>224</v>
      </c>
      <c r="E29" s="46" t="s">
        <v>297</v>
      </c>
      <c r="F29" s="46" t="s">
        <v>298</v>
      </c>
      <c r="G29" s="46" t="s">
        <v>299</v>
      </c>
      <c r="H29" s="46" t="s">
        <v>300</v>
      </c>
      <c r="I29" s="46" t="s">
        <v>301</v>
      </c>
      <c r="J29" s="46" t="s">
        <v>302</v>
      </c>
      <c r="K29" s="46">
        <f t="shared" si="0"/>
        <v>-145.36</v>
      </c>
      <c r="L29" s="46">
        <f t="shared" si="1"/>
        <v>-20.99000000000001</v>
      </c>
      <c r="M29" s="46">
        <f t="shared" si="2"/>
        <v>-45194.75</v>
      </c>
      <c r="N29" s="57" t="s">
        <v>303</v>
      </c>
    </row>
    <row r="30" spans="1:14" s="34" customFormat="1" ht="34.5" customHeight="1">
      <c r="A30" s="42">
        <v>26</v>
      </c>
      <c r="B30" s="43">
        <v>11207001001</v>
      </c>
      <c r="C30" s="44" t="s">
        <v>304</v>
      </c>
      <c r="D30" s="45" t="s">
        <v>224</v>
      </c>
      <c r="E30" s="46" t="s">
        <v>305</v>
      </c>
      <c r="F30" s="46" t="s">
        <v>306</v>
      </c>
      <c r="G30" s="46" t="s">
        <v>307</v>
      </c>
      <c r="H30" s="46" t="s">
        <v>307</v>
      </c>
      <c r="I30" s="46" t="s">
        <v>308</v>
      </c>
      <c r="J30" s="46" t="s">
        <v>309</v>
      </c>
      <c r="K30" s="46">
        <f t="shared" si="0"/>
        <v>-511.77000000000004</v>
      </c>
      <c r="L30" s="46">
        <f t="shared" si="1"/>
        <v>0</v>
      </c>
      <c r="M30" s="46">
        <f t="shared" si="2"/>
        <v>-270224.80000000005</v>
      </c>
      <c r="N30" s="57" t="s">
        <v>168</v>
      </c>
    </row>
    <row r="31" spans="1:14" s="34" customFormat="1" ht="34.5" customHeight="1">
      <c r="A31" s="42">
        <v>27</v>
      </c>
      <c r="B31" s="43">
        <v>11201001003</v>
      </c>
      <c r="C31" s="44" t="s">
        <v>223</v>
      </c>
      <c r="D31" s="45" t="s">
        <v>224</v>
      </c>
      <c r="E31" s="46" t="s">
        <v>310</v>
      </c>
      <c r="F31" s="46" t="s">
        <v>311</v>
      </c>
      <c r="G31" s="46" t="s">
        <v>312</v>
      </c>
      <c r="H31" s="46" t="s">
        <v>312</v>
      </c>
      <c r="I31" s="46" t="s">
        <v>313</v>
      </c>
      <c r="J31" s="46" t="s">
        <v>314</v>
      </c>
      <c r="K31" s="46">
        <f t="shared" si="0"/>
        <v>-511.3900000000001</v>
      </c>
      <c r="L31" s="46">
        <f t="shared" si="1"/>
        <v>0</v>
      </c>
      <c r="M31" s="46">
        <f t="shared" si="2"/>
        <v>-15449.09</v>
      </c>
      <c r="N31" s="57" t="s">
        <v>168</v>
      </c>
    </row>
    <row r="32" spans="1:14" s="34" customFormat="1" ht="34.5" customHeight="1">
      <c r="A32" s="42">
        <v>28</v>
      </c>
      <c r="B32" s="43">
        <v>11201001004</v>
      </c>
      <c r="C32" s="44" t="s">
        <v>223</v>
      </c>
      <c r="D32" s="45" t="s">
        <v>224</v>
      </c>
      <c r="E32" s="46" t="s">
        <v>315</v>
      </c>
      <c r="F32" s="46" t="s">
        <v>316</v>
      </c>
      <c r="G32" s="46" t="s">
        <v>317</v>
      </c>
      <c r="H32" s="46" t="s">
        <v>318</v>
      </c>
      <c r="I32" s="46" t="s">
        <v>319</v>
      </c>
      <c r="J32" s="46" t="s">
        <v>320</v>
      </c>
      <c r="K32" s="46">
        <f t="shared" si="0"/>
        <v>-221.01000000000002</v>
      </c>
      <c r="L32" s="46">
        <f t="shared" si="1"/>
        <v>-97.97999999999999</v>
      </c>
      <c r="M32" s="46">
        <f t="shared" si="2"/>
        <v>-53126.32</v>
      </c>
      <c r="N32" s="57" t="s">
        <v>321</v>
      </c>
    </row>
    <row r="33" spans="1:14" s="34" customFormat="1" ht="34.5" customHeight="1">
      <c r="A33" s="42">
        <v>29</v>
      </c>
      <c r="B33" s="43">
        <v>11203001003</v>
      </c>
      <c r="C33" s="44" t="s">
        <v>322</v>
      </c>
      <c r="D33" s="45" t="s">
        <v>224</v>
      </c>
      <c r="E33" s="46" t="s">
        <v>323</v>
      </c>
      <c r="F33" s="46" t="s">
        <v>324</v>
      </c>
      <c r="G33" s="46" t="s">
        <v>325</v>
      </c>
      <c r="H33" s="46" t="s">
        <v>325</v>
      </c>
      <c r="I33" s="46" t="s">
        <v>326</v>
      </c>
      <c r="J33" s="46" t="s">
        <v>327</v>
      </c>
      <c r="K33" s="46">
        <f t="shared" si="0"/>
        <v>-79.46000000000001</v>
      </c>
      <c r="L33" s="46">
        <f t="shared" si="1"/>
        <v>0</v>
      </c>
      <c r="M33" s="46">
        <f t="shared" si="2"/>
        <v>-16356.840000000004</v>
      </c>
      <c r="N33" s="57" t="s">
        <v>168</v>
      </c>
    </row>
    <row r="34" spans="1:14" s="34" customFormat="1" ht="34.5" customHeight="1">
      <c r="A34" s="42">
        <v>30</v>
      </c>
      <c r="B34" s="43">
        <v>11301001001</v>
      </c>
      <c r="C34" s="44" t="s">
        <v>328</v>
      </c>
      <c r="D34" s="45" t="s">
        <v>224</v>
      </c>
      <c r="E34" s="46" t="s">
        <v>329</v>
      </c>
      <c r="F34" s="46" t="s">
        <v>330</v>
      </c>
      <c r="G34" s="46" t="s">
        <v>331</v>
      </c>
      <c r="H34" s="46" t="s">
        <v>331</v>
      </c>
      <c r="I34" s="46" t="s">
        <v>332</v>
      </c>
      <c r="J34" s="46" t="s">
        <v>333</v>
      </c>
      <c r="K34" s="46">
        <f t="shared" si="0"/>
        <v>-971.1800000000003</v>
      </c>
      <c r="L34" s="46">
        <f t="shared" si="1"/>
        <v>0</v>
      </c>
      <c r="M34" s="46">
        <f t="shared" si="2"/>
        <v>-19112.820000000007</v>
      </c>
      <c r="N34" s="57" t="s">
        <v>168</v>
      </c>
    </row>
    <row r="35" spans="1:14" s="34" customFormat="1" ht="34.5" customHeight="1">
      <c r="A35" s="42">
        <v>31</v>
      </c>
      <c r="B35" s="43">
        <v>11301001002</v>
      </c>
      <c r="C35" s="44" t="s">
        <v>334</v>
      </c>
      <c r="D35" s="45" t="s">
        <v>224</v>
      </c>
      <c r="E35" s="46" t="s">
        <v>335</v>
      </c>
      <c r="F35" s="46" t="s">
        <v>336</v>
      </c>
      <c r="G35" s="46" t="s">
        <v>337</v>
      </c>
      <c r="H35" s="46" t="s">
        <v>336</v>
      </c>
      <c r="I35" s="46" t="s">
        <v>338</v>
      </c>
      <c r="J35" s="46" t="s">
        <v>339</v>
      </c>
      <c r="K35" s="46">
        <f t="shared" si="0"/>
        <v>-474.23</v>
      </c>
      <c r="L35" s="46">
        <f t="shared" si="1"/>
        <v>-90.89</v>
      </c>
      <c r="M35" s="46">
        <f t="shared" si="2"/>
        <v>-43102.76</v>
      </c>
      <c r="N35" s="57" t="s">
        <v>340</v>
      </c>
    </row>
    <row r="36" spans="1:14" s="34" customFormat="1" ht="34.5" customHeight="1">
      <c r="A36" s="42">
        <v>32</v>
      </c>
      <c r="B36" s="43">
        <v>11702003001</v>
      </c>
      <c r="C36" s="44" t="s">
        <v>252</v>
      </c>
      <c r="D36" s="45" t="s">
        <v>224</v>
      </c>
      <c r="E36" s="46" t="s">
        <v>341</v>
      </c>
      <c r="F36" s="46" t="s">
        <v>342</v>
      </c>
      <c r="G36" s="46" t="s">
        <v>343</v>
      </c>
      <c r="H36" s="46" t="s">
        <v>343</v>
      </c>
      <c r="I36" s="46" t="s">
        <v>344</v>
      </c>
      <c r="J36" s="46" t="s">
        <v>345</v>
      </c>
      <c r="K36" s="46">
        <f t="shared" si="0"/>
        <v>-394.0000000000001</v>
      </c>
      <c r="L36" s="46">
        <f t="shared" si="1"/>
        <v>0</v>
      </c>
      <c r="M36" s="46">
        <f t="shared" si="2"/>
        <v>-31062.960000000006</v>
      </c>
      <c r="N36" s="57" t="s">
        <v>168</v>
      </c>
    </row>
    <row r="37" spans="1:14" s="34" customFormat="1" ht="34.5" customHeight="1">
      <c r="A37" s="42">
        <v>33</v>
      </c>
      <c r="B37" s="43">
        <v>11702014001</v>
      </c>
      <c r="C37" s="44" t="s">
        <v>192</v>
      </c>
      <c r="D37" s="45" t="s">
        <v>224</v>
      </c>
      <c r="E37" s="46" t="s">
        <v>346</v>
      </c>
      <c r="F37" s="46" t="s">
        <v>347</v>
      </c>
      <c r="G37" s="46" t="s">
        <v>348</v>
      </c>
      <c r="H37" s="46" t="s">
        <v>348</v>
      </c>
      <c r="I37" s="46" t="s">
        <v>349</v>
      </c>
      <c r="J37" s="46" t="s">
        <v>350</v>
      </c>
      <c r="K37" s="46">
        <f t="shared" si="0"/>
        <v>-190.29000000000087</v>
      </c>
      <c r="L37" s="46">
        <f t="shared" si="1"/>
        <v>0</v>
      </c>
      <c r="M37" s="46">
        <f t="shared" si="2"/>
        <v>-14186.119999999995</v>
      </c>
      <c r="N37" s="57" t="s">
        <v>168</v>
      </c>
    </row>
    <row r="38" spans="1:14" s="34" customFormat="1" ht="34.5" customHeight="1">
      <c r="A38" s="42">
        <v>34</v>
      </c>
      <c r="B38" s="43">
        <v>10601001001</v>
      </c>
      <c r="C38" s="44" t="s">
        <v>351</v>
      </c>
      <c r="D38" s="45" t="s">
        <v>205</v>
      </c>
      <c r="E38" s="46" t="s">
        <v>352</v>
      </c>
      <c r="F38" s="46" t="s">
        <v>353</v>
      </c>
      <c r="G38" s="46" t="s">
        <v>354</v>
      </c>
      <c r="H38" s="46">
        <v>12223.3</v>
      </c>
      <c r="I38" s="46" t="s">
        <v>355</v>
      </c>
      <c r="J38" s="46" t="s">
        <v>356</v>
      </c>
      <c r="K38" s="46">
        <f t="shared" si="0"/>
        <v>-7.048999999999992</v>
      </c>
      <c r="L38" s="46">
        <f t="shared" si="1"/>
        <v>0</v>
      </c>
      <c r="M38" s="46">
        <f t="shared" si="2"/>
        <v>-86138.78000000003</v>
      </c>
      <c r="N38" s="57" t="s">
        <v>357</v>
      </c>
    </row>
    <row r="39" spans="1:14" s="34" customFormat="1" ht="34.5" customHeight="1">
      <c r="A39" s="42">
        <v>35</v>
      </c>
      <c r="B39" s="43">
        <v>10901002002</v>
      </c>
      <c r="C39" s="44" t="s">
        <v>358</v>
      </c>
      <c r="D39" s="45" t="s">
        <v>224</v>
      </c>
      <c r="E39" s="46" t="s">
        <v>359</v>
      </c>
      <c r="F39" s="46" t="s">
        <v>360</v>
      </c>
      <c r="G39" s="46" t="s">
        <v>361</v>
      </c>
      <c r="H39" s="46" t="s">
        <v>361</v>
      </c>
      <c r="I39" s="46" t="s">
        <v>362</v>
      </c>
      <c r="J39" s="46" t="s">
        <v>363</v>
      </c>
      <c r="K39" s="46">
        <f t="shared" si="0"/>
        <v>-133.26</v>
      </c>
      <c r="L39" s="46">
        <f t="shared" si="1"/>
        <v>0</v>
      </c>
      <c r="M39" s="46">
        <f t="shared" si="2"/>
        <v>-44291.619999999995</v>
      </c>
      <c r="N39" s="57" t="s">
        <v>168</v>
      </c>
    </row>
    <row r="40" spans="1:14" s="34" customFormat="1" ht="42" customHeight="1">
      <c r="A40" s="42">
        <v>36</v>
      </c>
      <c r="B40" s="43">
        <v>11209001001</v>
      </c>
      <c r="C40" s="44" t="s">
        <v>364</v>
      </c>
      <c r="D40" s="45" t="s">
        <v>224</v>
      </c>
      <c r="E40" s="46" t="s">
        <v>365</v>
      </c>
      <c r="F40" s="46" t="s">
        <v>366</v>
      </c>
      <c r="G40" s="46" t="s">
        <v>367</v>
      </c>
      <c r="H40" s="46" t="s">
        <v>368</v>
      </c>
      <c r="I40" s="46" t="s">
        <v>369</v>
      </c>
      <c r="J40" s="46" t="s">
        <v>370</v>
      </c>
      <c r="K40" s="46">
        <f t="shared" si="0"/>
        <v>-7.020000000000039</v>
      </c>
      <c r="L40" s="46">
        <f t="shared" si="1"/>
        <v>-87.0200000000001</v>
      </c>
      <c r="M40" s="46">
        <f t="shared" si="2"/>
        <v>-27798.98999999999</v>
      </c>
      <c r="N40" s="57" t="s">
        <v>371</v>
      </c>
    </row>
    <row r="41" spans="1:14" s="34" customFormat="1" ht="34.5" customHeight="1">
      <c r="A41" s="42">
        <v>37</v>
      </c>
      <c r="B41" s="43">
        <v>10201009002</v>
      </c>
      <c r="C41" s="44" t="s">
        <v>372</v>
      </c>
      <c r="D41" s="45" t="s">
        <v>154</v>
      </c>
      <c r="E41" s="46" t="s">
        <v>373</v>
      </c>
      <c r="F41" s="46" t="s">
        <v>374</v>
      </c>
      <c r="G41" s="46" t="s">
        <v>375</v>
      </c>
      <c r="H41" s="46" t="s">
        <v>375</v>
      </c>
      <c r="I41" s="46" t="s">
        <v>376</v>
      </c>
      <c r="J41" s="46" t="s">
        <v>377</v>
      </c>
      <c r="K41" s="46">
        <f t="shared" si="0"/>
        <v>1994.75</v>
      </c>
      <c r="L41" s="46">
        <f t="shared" si="1"/>
        <v>0</v>
      </c>
      <c r="M41" s="46">
        <f t="shared" si="2"/>
        <v>425340.54999999993</v>
      </c>
      <c r="N41" s="57" t="s">
        <v>168</v>
      </c>
    </row>
    <row r="42" spans="1:14" s="34" customFormat="1" ht="34.5" customHeight="1">
      <c r="A42" s="42">
        <v>38</v>
      </c>
      <c r="B42" s="43">
        <v>10302001001</v>
      </c>
      <c r="C42" s="44" t="s">
        <v>378</v>
      </c>
      <c r="D42" s="45" t="s">
        <v>154</v>
      </c>
      <c r="E42" s="46" t="s">
        <v>379</v>
      </c>
      <c r="F42" s="46" t="s">
        <v>380</v>
      </c>
      <c r="G42" s="46" t="s">
        <v>381</v>
      </c>
      <c r="H42" s="46" t="s">
        <v>381</v>
      </c>
      <c r="I42" s="46" t="s">
        <v>382</v>
      </c>
      <c r="J42" s="46" t="s">
        <v>383</v>
      </c>
      <c r="K42" s="46">
        <f t="shared" si="0"/>
        <v>-30.559999999999945</v>
      </c>
      <c r="L42" s="46">
        <f t="shared" si="1"/>
        <v>0</v>
      </c>
      <c r="M42" s="46">
        <f t="shared" si="2"/>
        <v>-25974.769999999902</v>
      </c>
      <c r="N42" s="57" t="s">
        <v>168</v>
      </c>
    </row>
    <row r="43" spans="1:14" s="34" customFormat="1" ht="34.5" customHeight="1">
      <c r="A43" s="42">
        <v>39</v>
      </c>
      <c r="B43" s="43">
        <v>10202009002</v>
      </c>
      <c r="C43" s="44" t="s">
        <v>384</v>
      </c>
      <c r="D43" s="45" t="s">
        <v>224</v>
      </c>
      <c r="E43" s="46" t="s">
        <v>385</v>
      </c>
      <c r="F43" s="46" t="s">
        <v>386</v>
      </c>
      <c r="G43" s="46" t="s">
        <v>387</v>
      </c>
      <c r="H43" s="46" t="s">
        <v>387</v>
      </c>
      <c r="I43" s="46" t="s">
        <v>388</v>
      </c>
      <c r="J43" s="46" t="s">
        <v>389</v>
      </c>
      <c r="K43" s="46">
        <f t="shared" si="0"/>
        <v>672.1499999999999</v>
      </c>
      <c r="L43" s="46">
        <f t="shared" si="1"/>
        <v>0</v>
      </c>
      <c r="M43" s="46">
        <f t="shared" si="2"/>
        <v>70656.41</v>
      </c>
      <c r="N43" s="57" t="s">
        <v>168</v>
      </c>
    </row>
    <row r="44" spans="1:14" s="34" customFormat="1" ht="34.5" customHeight="1">
      <c r="A44" s="42">
        <v>40</v>
      </c>
      <c r="B44" s="43">
        <v>10202009003</v>
      </c>
      <c r="C44" s="44" t="s">
        <v>390</v>
      </c>
      <c r="D44" s="45" t="s">
        <v>224</v>
      </c>
      <c r="E44" s="46" t="s">
        <v>391</v>
      </c>
      <c r="F44" s="46" t="s">
        <v>392</v>
      </c>
      <c r="G44" s="46" t="s">
        <v>393</v>
      </c>
      <c r="H44" s="46" t="s">
        <v>393</v>
      </c>
      <c r="I44" s="46" t="s">
        <v>394</v>
      </c>
      <c r="J44" s="46" t="s">
        <v>395</v>
      </c>
      <c r="K44" s="46">
        <f t="shared" si="0"/>
        <v>-1234.51</v>
      </c>
      <c r="L44" s="46">
        <f t="shared" si="1"/>
        <v>0</v>
      </c>
      <c r="M44" s="46">
        <f t="shared" si="2"/>
        <v>-112784.82999999999</v>
      </c>
      <c r="N44" s="57" t="s">
        <v>168</v>
      </c>
    </row>
    <row r="45" spans="1:14" s="34" customFormat="1" ht="34.5" customHeight="1">
      <c r="A45" s="42">
        <v>41</v>
      </c>
      <c r="B45" s="43">
        <v>10515001003</v>
      </c>
      <c r="C45" s="44" t="s">
        <v>204</v>
      </c>
      <c r="D45" s="45" t="s">
        <v>205</v>
      </c>
      <c r="E45" s="46" t="s">
        <v>396</v>
      </c>
      <c r="F45" s="46" t="s">
        <v>397</v>
      </c>
      <c r="G45" s="46" t="s">
        <v>398</v>
      </c>
      <c r="H45" s="46" t="s">
        <v>398</v>
      </c>
      <c r="I45" s="46" t="s">
        <v>399</v>
      </c>
      <c r="J45" s="46" t="s">
        <v>400</v>
      </c>
      <c r="K45" s="46">
        <f t="shared" si="0"/>
        <v>-2.952</v>
      </c>
      <c r="L45" s="46">
        <f t="shared" si="1"/>
        <v>0</v>
      </c>
      <c r="M45" s="46">
        <f t="shared" si="2"/>
        <v>-14602.81</v>
      </c>
      <c r="N45" s="57" t="s">
        <v>168</v>
      </c>
    </row>
    <row r="46" spans="1:14" s="34" customFormat="1" ht="42.75" customHeight="1">
      <c r="A46" s="42">
        <v>42</v>
      </c>
      <c r="B46" s="43">
        <v>21006001001</v>
      </c>
      <c r="C46" s="44" t="s">
        <v>401</v>
      </c>
      <c r="D46" s="45" t="s">
        <v>402</v>
      </c>
      <c r="E46" s="46" t="s">
        <v>403</v>
      </c>
      <c r="F46" s="46" t="s">
        <v>404</v>
      </c>
      <c r="G46" s="46" t="s">
        <v>405</v>
      </c>
      <c r="H46" s="46" t="s">
        <v>405</v>
      </c>
      <c r="I46" s="46" t="s">
        <v>406</v>
      </c>
      <c r="J46" s="46" t="s">
        <v>407</v>
      </c>
      <c r="K46" s="46">
        <f t="shared" si="0"/>
        <v>-372</v>
      </c>
      <c r="L46" s="46">
        <f t="shared" si="1"/>
        <v>0</v>
      </c>
      <c r="M46" s="46">
        <f t="shared" si="2"/>
        <v>-44115.48000000001</v>
      </c>
      <c r="N46" s="57" t="s">
        <v>168</v>
      </c>
    </row>
    <row r="47" spans="1:14" s="35" customFormat="1" ht="12.75">
      <c r="A47" s="42">
        <v>43</v>
      </c>
      <c r="B47" s="47"/>
      <c r="C47" s="48" t="s">
        <v>408</v>
      </c>
      <c r="D47" s="45" t="s">
        <v>409</v>
      </c>
      <c r="E47" s="49" t="s">
        <v>410</v>
      </c>
      <c r="F47" s="50" t="s">
        <v>411</v>
      </c>
      <c r="G47" s="49" t="s">
        <v>412</v>
      </c>
      <c r="H47" s="51" t="s">
        <v>412</v>
      </c>
      <c r="I47" s="49" t="s">
        <v>413</v>
      </c>
      <c r="J47" s="49" t="s">
        <v>414</v>
      </c>
      <c r="K47" s="46">
        <f t="shared" si="0"/>
        <v>-200</v>
      </c>
      <c r="L47" s="46">
        <f t="shared" si="1"/>
        <v>0</v>
      </c>
      <c r="M47" s="46">
        <f t="shared" si="2"/>
        <v>-71524</v>
      </c>
      <c r="N47" s="57" t="s">
        <v>168</v>
      </c>
    </row>
    <row r="48" spans="1:14" s="35" customFormat="1" ht="12.75">
      <c r="A48" s="42">
        <v>44</v>
      </c>
      <c r="B48" s="47"/>
      <c r="C48" s="48" t="s">
        <v>415</v>
      </c>
      <c r="D48" s="45" t="s">
        <v>416</v>
      </c>
      <c r="E48" s="49">
        <v>0</v>
      </c>
      <c r="F48" s="50">
        <v>1</v>
      </c>
      <c r="G48" s="49">
        <v>0</v>
      </c>
      <c r="H48" s="51">
        <v>1796021.82</v>
      </c>
      <c r="I48" s="49">
        <v>0</v>
      </c>
      <c r="J48" s="51">
        <f>H48</f>
        <v>1796021.82</v>
      </c>
      <c r="K48" s="46">
        <f t="shared" si="0"/>
        <v>1</v>
      </c>
      <c r="L48" s="46">
        <f t="shared" si="1"/>
        <v>1796021.82</v>
      </c>
      <c r="M48" s="46">
        <f t="shared" si="2"/>
        <v>1796021.82</v>
      </c>
      <c r="N48" s="57" t="s">
        <v>415</v>
      </c>
    </row>
    <row r="49" spans="1:14" s="35" customFormat="1" ht="25.5">
      <c r="A49" s="42">
        <v>45</v>
      </c>
      <c r="B49" s="47"/>
      <c r="C49" s="48" t="s">
        <v>417</v>
      </c>
      <c r="D49" s="45" t="s">
        <v>416</v>
      </c>
      <c r="E49" s="49">
        <v>0</v>
      </c>
      <c r="F49" s="50">
        <v>1</v>
      </c>
      <c r="G49" s="49">
        <v>0</v>
      </c>
      <c r="H49" s="51">
        <v>566109.83</v>
      </c>
      <c r="I49" s="49">
        <v>0</v>
      </c>
      <c r="J49" s="51">
        <f>H49</f>
        <v>566109.83</v>
      </c>
      <c r="K49" s="46">
        <f t="shared" si="0"/>
        <v>1</v>
      </c>
      <c r="L49" s="46">
        <f t="shared" si="1"/>
        <v>566109.83</v>
      </c>
      <c r="M49" s="46">
        <f t="shared" si="2"/>
        <v>566109.83</v>
      </c>
      <c r="N49" s="57" t="s">
        <v>418</v>
      </c>
    </row>
    <row r="50" spans="1:14" s="35" customFormat="1" ht="25.5">
      <c r="A50" s="42">
        <v>46</v>
      </c>
      <c r="B50" s="47"/>
      <c r="C50" s="48" t="s">
        <v>419</v>
      </c>
      <c r="D50" s="45" t="s">
        <v>416</v>
      </c>
      <c r="E50" s="49">
        <v>0</v>
      </c>
      <c r="F50" s="50">
        <v>1</v>
      </c>
      <c r="G50" s="49">
        <v>0</v>
      </c>
      <c r="H50" s="51">
        <v>435956.98000000004</v>
      </c>
      <c r="I50" s="49">
        <v>0</v>
      </c>
      <c r="J50" s="51">
        <f>H50</f>
        <v>435956.98000000004</v>
      </c>
      <c r="K50" s="46">
        <f t="shared" si="0"/>
        <v>1</v>
      </c>
      <c r="L50" s="46">
        <f t="shared" si="1"/>
        <v>435956.98000000004</v>
      </c>
      <c r="M50" s="46">
        <f t="shared" si="2"/>
        <v>435956.98000000004</v>
      </c>
      <c r="N50" s="57" t="s">
        <v>420</v>
      </c>
    </row>
    <row r="51" spans="1:14" s="35" customFormat="1" ht="12.75">
      <c r="A51" s="42">
        <v>47</v>
      </c>
      <c r="B51" s="47"/>
      <c r="C51" s="48" t="s">
        <v>133</v>
      </c>
      <c r="D51" s="52" t="s">
        <v>416</v>
      </c>
      <c r="E51" s="49">
        <v>0</v>
      </c>
      <c r="F51" s="50">
        <v>1</v>
      </c>
      <c r="G51" s="49">
        <v>0</v>
      </c>
      <c r="H51" s="51">
        <v>360241.09</v>
      </c>
      <c r="I51" s="49">
        <v>0</v>
      </c>
      <c r="J51" s="51">
        <v>360241.09</v>
      </c>
      <c r="K51" s="46">
        <f t="shared" si="0"/>
        <v>1</v>
      </c>
      <c r="L51" s="46">
        <f t="shared" si="1"/>
        <v>360241.09</v>
      </c>
      <c r="M51" s="46">
        <f t="shared" si="2"/>
        <v>360241.09</v>
      </c>
      <c r="N51" s="57" t="s">
        <v>421</v>
      </c>
    </row>
    <row r="52" spans="1:14" s="35" customFormat="1" ht="38.25">
      <c r="A52" s="42">
        <v>48</v>
      </c>
      <c r="B52" s="53"/>
      <c r="C52" s="48" t="s">
        <v>422</v>
      </c>
      <c r="D52" s="52" t="s">
        <v>416</v>
      </c>
      <c r="E52" s="49">
        <v>0</v>
      </c>
      <c r="F52" s="50">
        <v>1</v>
      </c>
      <c r="G52" s="49">
        <v>0</v>
      </c>
      <c r="H52" s="51">
        <v>1866261.64</v>
      </c>
      <c r="I52" s="49">
        <v>0</v>
      </c>
      <c r="J52" s="51">
        <f>H52</f>
        <v>1866261.64</v>
      </c>
      <c r="K52" s="46">
        <f t="shared" si="0"/>
        <v>1</v>
      </c>
      <c r="L52" s="46">
        <f t="shared" si="1"/>
        <v>1866261.64</v>
      </c>
      <c r="M52" s="46">
        <f t="shared" si="2"/>
        <v>1866261.64</v>
      </c>
      <c r="N52" s="57" t="s">
        <v>423</v>
      </c>
    </row>
    <row r="53" spans="1:14" s="35" customFormat="1" ht="25.5">
      <c r="A53" s="42">
        <v>49</v>
      </c>
      <c r="B53" s="53">
        <v>30905002001</v>
      </c>
      <c r="C53" s="48" t="s">
        <v>424</v>
      </c>
      <c r="D53" s="52" t="s">
        <v>425</v>
      </c>
      <c r="E53" s="54">
        <v>1</v>
      </c>
      <c r="F53" s="50">
        <v>1</v>
      </c>
      <c r="G53" s="54">
        <v>17715.33</v>
      </c>
      <c r="H53" s="51">
        <v>1237.52</v>
      </c>
      <c r="I53" s="54">
        <f aca="true" t="shared" si="3" ref="I53:I66">E53*G53</f>
        <v>17715.33</v>
      </c>
      <c r="J53" s="54">
        <f aca="true" t="shared" si="4" ref="J53:J66">F53*H53</f>
        <v>1237.52</v>
      </c>
      <c r="K53" s="58">
        <f aca="true" t="shared" si="5" ref="K53:K66">F53-E53</f>
        <v>0</v>
      </c>
      <c r="L53" s="58">
        <f aca="true" t="shared" si="6" ref="L53:L66">H53-G53</f>
        <v>-16477.81</v>
      </c>
      <c r="M53" s="58">
        <f aca="true" t="shared" si="7" ref="M53:M66">J53-I53</f>
        <v>-16477.81</v>
      </c>
      <c r="N53" s="6" t="s">
        <v>426</v>
      </c>
    </row>
    <row r="54" spans="1:14" s="35" customFormat="1" ht="12.75">
      <c r="A54" s="42">
        <v>50</v>
      </c>
      <c r="B54" s="53">
        <v>30901010002</v>
      </c>
      <c r="C54" s="48" t="s">
        <v>427</v>
      </c>
      <c r="D54" s="52" t="s">
        <v>428</v>
      </c>
      <c r="E54" s="54">
        <v>45</v>
      </c>
      <c r="F54" s="50">
        <v>45</v>
      </c>
      <c r="G54" s="54">
        <v>861.69</v>
      </c>
      <c r="H54" s="51">
        <v>1218.15</v>
      </c>
      <c r="I54" s="54">
        <f t="shared" si="3"/>
        <v>38776.05</v>
      </c>
      <c r="J54" s="54">
        <f t="shared" si="4"/>
        <v>54816.75000000001</v>
      </c>
      <c r="K54" s="58">
        <f t="shared" si="5"/>
        <v>0</v>
      </c>
      <c r="L54" s="58">
        <f t="shared" si="6"/>
        <v>356.46000000000004</v>
      </c>
      <c r="M54" s="58">
        <f t="shared" si="7"/>
        <v>16040.700000000004</v>
      </c>
      <c r="N54" s="6" t="s">
        <v>429</v>
      </c>
    </row>
    <row r="55" spans="1:14" s="35" customFormat="1" ht="25.5">
      <c r="A55" s="42">
        <v>51</v>
      </c>
      <c r="B55" s="53">
        <v>30902007001</v>
      </c>
      <c r="C55" s="48" t="s">
        <v>430</v>
      </c>
      <c r="D55" s="52" t="s">
        <v>428</v>
      </c>
      <c r="E55" s="54">
        <v>9</v>
      </c>
      <c r="F55" s="50">
        <v>0</v>
      </c>
      <c r="G55" s="54">
        <v>1062.53</v>
      </c>
      <c r="H55" s="51">
        <v>1062.53</v>
      </c>
      <c r="I55" s="54">
        <f t="shared" si="3"/>
        <v>9562.77</v>
      </c>
      <c r="J55" s="54">
        <f t="shared" si="4"/>
        <v>0</v>
      </c>
      <c r="K55" s="58">
        <f t="shared" si="5"/>
        <v>-9</v>
      </c>
      <c r="L55" s="58">
        <f t="shared" si="6"/>
        <v>0</v>
      </c>
      <c r="M55" s="58">
        <f t="shared" si="7"/>
        <v>-9562.77</v>
      </c>
      <c r="N55" s="6" t="s">
        <v>431</v>
      </c>
    </row>
    <row r="56" spans="1:14" s="35" customFormat="1" ht="25.5">
      <c r="A56" s="42">
        <v>52</v>
      </c>
      <c r="B56" s="53">
        <v>30408001012</v>
      </c>
      <c r="C56" s="48" t="s">
        <v>432</v>
      </c>
      <c r="D56" s="52" t="s">
        <v>433</v>
      </c>
      <c r="E56" s="54">
        <v>895.932</v>
      </c>
      <c r="F56" s="50">
        <v>1500.93</v>
      </c>
      <c r="G56" s="54">
        <v>16.05</v>
      </c>
      <c r="H56" s="51">
        <v>16.05</v>
      </c>
      <c r="I56" s="54">
        <f t="shared" si="3"/>
        <v>14379.708600000002</v>
      </c>
      <c r="J56" s="54">
        <f t="shared" si="4"/>
        <v>24089.9265</v>
      </c>
      <c r="K56" s="58">
        <f t="shared" si="5"/>
        <v>604.998</v>
      </c>
      <c r="L56" s="58">
        <f t="shared" si="6"/>
        <v>0</v>
      </c>
      <c r="M56" s="58">
        <f t="shared" si="7"/>
        <v>9710.2179</v>
      </c>
      <c r="N56" s="6" t="s">
        <v>434</v>
      </c>
    </row>
    <row r="57" spans="1:14" s="35" customFormat="1" ht="25.5">
      <c r="A57" s="42">
        <v>53</v>
      </c>
      <c r="B57" s="53">
        <v>30411004024</v>
      </c>
      <c r="C57" s="48" t="s">
        <v>435</v>
      </c>
      <c r="D57" s="52" t="s">
        <v>433</v>
      </c>
      <c r="E57" s="54">
        <v>20472.32</v>
      </c>
      <c r="F57" s="50">
        <v>16523.2</v>
      </c>
      <c r="G57" s="54">
        <v>2.87</v>
      </c>
      <c r="H57" s="51">
        <v>2.87</v>
      </c>
      <c r="I57" s="54">
        <f t="shared" si="3"/>
        <v>58755.5584</v>
      </c>
      <c r="J57" s="54">
        <f t="shared" si="4"/>
        <v>47421.584</v>
      </c>
      <c r="K57" s="58">
        <f t="shared" si="5"/>
        <v>-3949.119999999999</v>
      </c>
      <c r="L57" s="58">
        <f t="shared" si="6"/>
        <v>0</v>
      </c>
      <c r="M57" s="58">
        <f t="shared" si="7"/>
        <v>-11333.9744</v>
      </c>
      <c r="N57" s="6" t="s">
        <v>161</v>
      </c>
    </row>
    <row r="58" spans="1:14" s="35" customFormat="1" ht="12.75">
      <c r="A58" s="42">
        <v>54</v>
      </c>
      <c r="B58" s="53">
        <v>30701004003</v>
      </c>
      <c r="C58" s="48" t="s">
        <v>436</v>
      </c>
      <c r="D58" s="52" t="s">
        <v>437</v>
      </c>
      <c r="E58" s="54">
        <v>172</v>
      </c>
      <c r="F58" s="50">
        <v>145</v>
      </c>
      <c r="G58" s="54">
        <v>2874.57</v>
      </c>
      <c r="H58" s="54">
        <v>2874.57</v>
      </c>
      <c r="I58" s="54">
        <f t="shared" si="3"/>
        <v>494426.04000000004</v>
      </c>
      <c r="J58" s="54">
        <f t="shared" si="4"/>
        <v>416812.65</v>
      </c>
      <c r="K58" s="58">
        <f t="shared" si="5"/>
        <v>-27</v>
      </c>
      <c r="L58" s="58">
        <f t="shared" si="6"/>
        <v>0</v>
      </c>
      <c r="M58" s="58">
        <f t="shared" si="7"/>
        <v>-77613.39000000001</v>
      </c>
      <c r="N58" s="6" t="s">
        <v>438</v>
      </c>
    </row>
    <row r="59" spans="1:14" s="35" customFormat="1" ht="25.5">
      <c r="A59" s="42">
        <v>55</v>
      </c>
      <c r="B59" s="53">
        <v>30404034005</v>
      </c>
      <c r="C59" s="48" t="s">
        <v>439</v>
      </c>
      <c r="D59" s="52" t="s">
        <v>440</v>
      </c>
      <c r="E59" s="54">
        <v>201</v>
      </c>
      <c r="F59" s="50">
        <v>174</v>
      </c>
      <c r="G59" s="54">
        <v>365.26</v>
      </c>
      <c r="H59" s="51">
        <v>329.57</v>
      </c>
      <c r="I59" s="54">
        <f t="shared" si="3"/>
        <v>73417.26</v>
      </c>
      <c r="J59" s="54">
        <f t="shared" si="4"/>
        <v>57345.18</v>
      </c>
      <c r="K59" s="58">
        <f t="shared" si="5"/>
        <v>-27</v>
      </c>
      <c r="L59" s="58">
        <f t="shared" si="6"/>
        <v>-35.69</v>
      </c>
      <c r="M59" s="58">
        <f t="shared" si="7"/>
        <v>-16072.079999999994</v>
      </c>
      <c r="N59" s="6" t="s">
        <v>441</v>
      </c>
    </row>
    <row r="60" spans="1:14" s="35" customFormat="1" ht="12.75">
      <c r="A60" s="42">
        <v>56</v>
      </c>
      <c r="B60" s="53">
        <v>30701015001</v>
      </c>
      <c r="C60" s="48" t="s">
        <v>442</v>
      </c>
      <c r="D60" s="52" t="s">
        <v>428</v>
      </c>
      <c r="E60" s="54">
        <v>3</v>
      </c>
      <c r="F60" s="50">
        <v>0</v>
      </c>
      <c r="G60" s="54">
        <v>47898.8</v>
      </c>
      <c r="H60" s="51">
        <v>0</v>
      </c>
      <c r="I60" s="54">
        <f t="shared" si="3"/>
        <v>143696.40000000002</v>
      </c>
      <c r="J60" s="54">
        <f t="shared" si="4"/>
        <v>0</v>
      </c>
      <c r="K60" s="58">
        <f t="shared" si="5"/>
        <v>-3</v>
      </c>
      <c r="L60" s="58">
        <f t="shared" si="6"/>
        <v>-47898.8</v>
      </c>
      <c r="M60" s="58">
        <f t="shared" si="7"/>
        <v>-143696.40000000002</v>
      </c>
      <c r="N60" s="6" t="s">
        <v>443</v>
      </c>
    </row>
    <row r="61" spans="1:14" s="35" customFormat="1" ht="12.75">
      <c r="A61" s="42">
        <v>57</v>
      </c>
      <c r="B61" s="53">
        <v>30108001019</v>
      </c>
      <c r="C61" s="48" t="s">
        <v>444</v>
      </c>
      <c r="D61" s="52" t="s">
        <v>428</v>
      </c>
      <c r="E61" s="54">
        <v>1</v>
      </c>
      <c r="F61" s="50">
        <v>0</v>
      </c>
      <c r="G61" s="54">
        <v>7927.43</v>
      </c>
      <c r="H61" s="51">
        <v>0</v>
      </c>
      <c r="I61" s="54">
        <f t="shared" si="3"/>
        <v>7927.43</v>
      </c>
      <c r="J61" s="54">
        <f t="shared" si="4"/>
        <v>0</v>
      </c>
      <c r="K61" s="58">
        <f t="shared" si="5"/>
        <v>-1</v>
      </c>
      <c r="L61" s="58">
        <f t="shared" si="6"/>
        <v>-7927.43</v>
      </c>
      <c r="M61" s="58">
        <f t="shared" si="7"/>
        <v>-7927.43</v>
      </c>
      <c r="N61" s="6" t="s">
        <v>443</v>
      </c>
    </row>
    <row r="62" spans="1:14" s="35" customFormat="1" ht="12.75">
      <c r="A62" s="42">
        <v>58</v>
      </c>
      <c r="B62" s="53">
        <v>30702001059</v>
      </c>
      <c r="C62" s="48" t="s">
        <v>445</v>
      </c>
      <c r="D62" s="52" t="s">
        <v>224</v>
      </c>
      <c r="E62" s="54">
        <v>145.2</v>
      </c>
      <c r="F62" s="50">
        <v>0</v>
      </c>
      <c r="G62" s="54">
        <v>156.1</v>
      </c>
      <c r="H62" s="51">
        <v>0</v>
      </c>
      <c r="I62" s="54">
        <f t="shared" si="3"/>
        <v>22665.719999999998</v>
      </c>
      <c r="J62" s="54">
        <f t="shared" si="4"/>
        <v>0</v>
      </c>
      <c r="K62" s="58">
        <f t="shared" si="5"/>
        <v>-145.2</v>
      </c>
      <c r="L62" s="58">
        <f t="shared" si="6"/>
        <v>-156.1</v>
      </c>
      <c r="M62" s="58">
        <f t="shared" si="7"/>
        <v>-22665.719999999998</v>
      </c>
      <c r="N62" s="6" t="s">
        <v>446</v>
      </c>
    </row>
    <row r="63" spans="1:14" s="35" customFormat="1" ht="12.75">
      <c r="A63" s="42">
        <v>59</v>
      </c>
      <c r="B63" s="53">
        <v>30702001060</v>
      </c>
      <c r="C63" s="48" t="s">
        <v>447</v>
      </c>
      <c r="D63" s="52" t="s">
        <v>224</v>
      </c>
      <c r="E63" s="54">
        <v>186.4</v>
      </c>
      <c r="F63" s="50">
        <v>0</v>
      </c>
      <c r="G63" s="54">
        <v>156.1</v>
      </c>
      <c r="H63" s="51">
        <v>0</v>
      </c>
      <c r="I63" s="54">
        <f t="shared" si="3"/>
        <v>29097.04</v>
      </c>
      <c r="J63" s="54">
        <f t="shared" si="4"/>
        <v>0</v>
      </c>
      <c r="K63" s="58">
        <f t="shared" si="5"/>
        <v>-186.4</v>
      </c>
      <c r="L63" s="58">
        <f t="shared" si="6"/>
        <v>-156.1</v>
      </c>
      <c r="M63" s="58">
        <f t="shared" si="7"/>
        <v>-29097.04</v>
      </c>
      <c r="N63" s="6" t="s">
        <v>446</v>
      </c>
    </row>
    <row r="64" spans="1:14" s="35" customFormat="1" ht="12.75">
      <c r="A64" s="42">
        <v>60</v>
      </c>
      <c r="B64" s="53">
        <v>30702001069</v>
      </c>
      <c r="C64" s="48" t="s">
        <v>448</v>
      </c>
      <c r="D64" s="52" t="s">
        <v>224</v>
      </c>
      <c r="E64" s="54">
        <v>409.89</v>
      </c>
      <c r="F64" s="50">
        <v>208.9</v>
      </c>
      <c r="G64" s="54">
        <v>134.23</v>
      </c>
      <c r="H64" s="54">
        <v>134.23</v>
      </c>
      <c r="I64" s="54">
        <f t="shared" si="3"/>
        <v>55019.5347</v>
      </c>
      <c r="J64" s="54">
        <f t="shared" si="4"/>
        <v>28040.646999999997</v>
      </c>
      <c r="K64" s="58">
        <f t="shared" si="5"/>
        <v>-200.98999999999998</v>
      </c>
      <c r="L64" s="58">
        <f t="shared" si="6"/>
        <v>0</v>
      </c>
      <c r="M64" s="58">
        <f t="shared" si="7"/>
        <v>-26978.8877</v>
      </c>
      <c r="N64" s="6" t="s">
        <v>161</v>
      </c>
    </row>
    <row r="65" spans="1:14" s="35" customFormat="1" ht="25.5">
      <c r="A65" s="42">
        <v>61</v>
      </c>
      <c r="B65" s="53">
        <v>30702001069</v>
      </c>
      <c r="C65" s="48" t="s">
        <v>449</v>
      </c>
      <c r="D65" s="52" t="s">
        <v>224</v>
      </c>
      <c r="E65" s="54">
        <v>872</v>
      </c>
      <c r="F65" s="50">
        <v>419</v>
      </c>
      <c r="G65" s="54">
        <v>209.12</v>
      </c>
      <c r="H65" s="54">
        <v>209.12</v>
      </c>
      <c r="I65" s="54">
        <f t="shared" si="3"/>
        <v>182352.64</v>
      </c>
      <c r="J65" s="54">
        <f t="shared" si="4"/>
        <v>87621.28</v>
      </c>
      <c r="K65" s="58">
        <f t="shared" si="5"/>
        <v>-453</v>
      </c>
      <c r="L65" s="58">
        <f t="shared" si="6"/>
        <v>0</v>
      </c>
      <c r="M65" s="58">
        <f t="shared" si="7"/>
        <v>-94731.36000000002</v>
      </c>
      <c r="N65" s="6" t="s">
        <v>161</v>
      </c>
    </row>
    <row r="66" spans="1:14" s="35" customFormat="1" ht="12.75">
      <c r="A66" s="42">
        <v>62</v>
      </c>
      <c r="B66" s="53">
        <v>50306005010</v>
      </c>
      <c r="C66" s="48" t="s">
        <v>450</v>
      </c>
      <c r="D66" s="52" t="s">
        <v>451</v>
      </c>
      <c r="E66" s="54">
        <v>3</v>
      </c>
      <c r="F66" s="50">
        <v>0</v>
      </c>
      <c r="G66" s="54">
        <v>20161.27</v>
      </c>
      <c r="H66" s="51">
        <v>0</v>
      </c>
      <c r="I66" s="54">
        <f t="shared" si="3"/>
        <v>60483.81</v>
      </c>
      <c r="J66" s="54">
        <f t="shared" si="4"/>
        <v>0</v>
      </c>
      <c r="K66" s="58">
        <f t="shared" si="5"/>
        <v>-3</v>
      </c>
      <c r="L66" s="58">
        <f t="shared" si="6"/>
        <v>-20161.27</v>
      </c>
      <c r="M66" s="58">
        <f t="shared" si="7"/>
        <v>-60483.81</v>
      </c>
      <c r="N66" s="6" t="s">
        <v>452</v>
      </c>
    </row>
  </sheetData>
  <sheetProtection/>
  <mergeCells count="14">
    <mergeCell ref="A1:N1"/>
    <mergeCell ref="E2:F2"/>
    <mergeCell ref="G2:H2"/>
    <mergeCell ref="I2:J2"/>
    <mergeCell ref="K2:M2"/>
    <mergeCell ref="A2:A4"/>
    <mergeCell ref="B2:B4"/>
    <mergeCell ref="C2:C4"/>
    <mergeCell ref="D2:D4"/>
    <mergeCell ref="E3:E4"/>
    <mergeCell ref="K3:K4"/>
    <mergeCell ref="L3:L4"/>
    <mergeCell ref="M3:M4"/>
    <mergeCell ref="N2:N4"/>
  </mergeCells>
  <printOptions/>
  <pageMargins left="0.75" right="0.75" top="1" bottom="1" header="0.5" footer="0.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8"/>
  <sheetViews>
    <sheetView workbookViewId="0" topLeftCell="A1">
      <selection activeCell="E4" sqref="E4:E8"/>
    </sheetView>
  </sheetViews>
  <sheetFormatPr defaultColWidth="8.75390625" defaultRowHeight="14.25"/>
  <cols>
    <col min="2" max="2" width="11.25390625" style="0" customWidth="1"/>
    <col min="3" max="3" width="10.50390625" style="0" bestFit="1" customWidth="1"/>
    <col min="4" max="4" width="11.625" style="0" bestFit="1" customWidth="1"/>
    <col min="5" max="5" width="11.625" style="26" bestFit="1" customWidth="1"/>
    <col min="8" max="9" width="9.50390625" style="0" bestFit="1" customWidth="1"/>
    <col min="10" max="10" width="10.50390625" style="0" bestFit="1" customWidth="1"/>
  </cols>
  <sheetData>
    <row r="1" spans="1:11" ht="14.25">
      <c r="A1" s="27" t="s">
        <v>453</v>
      </c>
      <c r="B1" s="28"/>
      <c r="C1" s="28"/>
      <c r="D1" s="28"/>
      <c r="E1" s="28"/>
      <c r="F1" s="28"/>
      <c r="G1" s="28"/>
      <c r="H1" s="28"/>
      <c r="I1" s="28"/>
      <c r="J1" s="28"/>
      <c r="K1" s="32"/>
    </row>
    <row r="2" spans="1:11" ht="14.25">
      <c r="A2" s="3" t="s">
        <v>123</v>
      </c>
      <c r="B2" s="3"/>
      <c r="C2" s="3"/>
      <c r="D2" s="3"/>
      <c r="E2" s="3"/>
      <c r="F2" s="3" t="s">
        <v>125</v>
      </c>
      <c r="G2" s="3"/>
      <c r="H2" s="3"/>
      <c r="I2" s="3"/>
      <c r="J2" s="3"/>
      <c r="K2" s="3" t="s">
        <v>71</v>
      </c>
    </row>
    <row r="3" spans="1:11" ht="25.5">
      <c r="A3" s="3" t="s">
        <v>139</v>
      </c>
      <c r="B3" s="3" t="s">
        <v>99</v>
      </c>
      <c r="C3" s="3" t="s">
        <v>68</v>
      </c>
      <c r="D3" s="3" t="s">
        <v>69</v>
      </c>
      <c r="E3" s="3" t="s">
        <v>454</v>
      </c>
      <c r="F3" s="3" t="s">
        <v>139</v>
      </c>
      <c r="G3" s="3" t="s">
        <v>99</v>
      </c>
      <c r="H3" s="3" t="s">
        <v>68</v>
      </c>
      <c r="I3" s="3" t="s">
        <v>69</v>
      </c>
      <c r="J3" s="33" t="s">
        <v>454</v>
      </c>
      <c r="K3" s="3"/>
    </row>
    <row r="4" spans="1:11" ht="60.75" customHeight="1">
      <c r="A4" s="3">
        <v>1</v>
      </c>
      <c r="B4" s="3" t="s">
        <v>455</v>
      </c>
      <c r="C4" s="29">
        <v>1176847</v>
      </c>
      <c r="D4" s="29">
        <v>1243449.32</v>
      </c>
      <c r="E4" s="29">
        <f>D4-C4</f>
        <v>66602.32000000007</v>
      </c>
      <c r="F4" s="3"/>
      <c r="G4" s="3"/>
      <c r="H4" s="3"/>
      <c r="I4" s="3"/>
      <c r="J4" s="33"/>
      <c r="K4" s="3" t="s">
        <v>456</v>
      </c>
    </row>
    <row r="5" spans="1:11" ht="60.75" customHeight="1">
      <c r="A5" s="30">
        <v>2</v>
      </c>
      <c r="B5" s="3" t="s">
        <v>457</v>
      </c>
      <c r="C5" s="29">
        <f>11398.34+25354.58+178356.31+246585.53+39414.17+53952.66</f>
        <v>555061.59</v>
      </c>
      <c r="D5" s="29">
        <f>11480.56+62413.53+37814+253330.86+193287.67+23567.15+29634.36+9359.66+896.46+7264.28+1696.99</f>
        <v>630745.52</v>
      </c>
      <c r="E5" s="29">
        <f>D5-C5</f>
        <v>75683.93000000005</v>
      </c>
      <c r="F5" s="3"/>
      <c r="G5" s="3"/>
      <c r="H5" s="30"/>
      <c r="I5" s="30"/>
      <c r="J5" s="30"/>
      <c r="K5" s="3" t="s">
        <v>456</v>
      </c>
    </row>
    <row r="6" spans="1:11" ht="60.75" customHeight="1">
      <c r="A6" s="30">
        <v>3</v>
      </c>
      <c r="B6" s="3" t="s">
        <v>458</v>
      </c>
      <c r="C6" s="29">
        <v>131400.58</v>
      </c>
      <c r="D6" s="29">
        <v>129100.76</v>
      </c>
      <c r="E6" s="29">
        <f>D6-C6</f>
        <v>-2299.8199999999924</v>
      </c>
      <c r="F6" s="29"/>
      <c r="G6" s="29"/>
      <c r="H6" s="31"/>
      <c r="I6" s="31"/>
      <c r="J6" s="30"/>
      <c r="K6" s="3" t="s">
        <v>459</v>
      </c>
    </row>
    <row r="7" spans="1:11" ht="60.75" customHeight="1">
      <c r="A7" s="3">
        <v>4</v>
      </c>
      <c r="B7" s="3" t="s">
        <v>460</v>
      </c>
      <c r="C7" s="29">
        <f>19612.31+449.4+255.3+1072.32+1957.14</f>
        <v>23346.47</v>
      </c>
      <c r="D7" s="29">
        <f>20118.42+412.26+255.18+1026.43+1795.53</f>
        <v>23607.819999999996</v>
      </c>
      <c r="E7" s="29">
        <f>D7-C7</f>
        <v>261.3499999999949</v>
      </c>
      <c r="F7" s="29"/>
      <c r="G7" s="29"/>
      <c r="H7" s="29"/>
      <c r="I7" s="29"/>
      <c r="J7" s="33"/>
      <c r="K7" s="3" t="s">
        <v>461</v>
      </c>
    </row>
    <row r="8" spans="1:11" ht="60.75" customHeight="1">
      <c r="A8" s="3">
        <v>6</v>
      </c>
      <c r="B8" s="3" t="s">
        <v>462</v>
      </c>
      <c r="C8" s="29">
        <f>31825.15+6352.81+1070.94+22814.63+18188.9</f>
        <v>80252.43</v>
      </c>
      <c r="D8" s="31">
        <f>32511.75+6198.36+1063.12+15860.73+17241.15</f>
        <v>72875.11000000002</v>
      </c>
      <c r="E8" s="29">
        <f>D8-C8</f>
        <v>-7377.319999999978</v>
      </c>
      <c r="F8" s="31"/>
      <c r="G8" s="29"/>
      <c r="H8" s="31"/>
      <c r="I8" s="31"/>
      <c r="J8" s="30"/>
      <c r="K8" s="3" t="s">
        <v>463</v>
      </c>
    </row>
  </sheetData>
  <sheetProtection/>
  <mergeCells count="4">
    <mergeCell ref="A1:K1"/>
    <mergeCell ref="A2:E2"/>
    <mergeCell ref="F2:J2"/>
    <mergeCell ref="K2:K3"/>
  </mergeCells>
  <printOptions/>
  <pageMargins left="0.75" right="0.75" top="1" bottom="1" header="0.5" footer="0.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M8"/>
  <sheetViews>
    <sheetView workbookViewId="0" topLeftCell="A1">
      <selection activeCell="F15" sqref="F15"/>
    </sheetView>
  </sheetViews>
  <sheetFormatPr defaultColWidth="8.75390625" defaultRowHeight="14.25"/>
  <sheetData>
    <row r="1" spans="1:13" ht="15">
      <c r="A1" s="13" t="s">
        <v>464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24"/>
    </row>
    <row r="2" spans="1:13" ht="15">
      <c r="A2" s="15" t="s">
        <v>139</v>
      </c>
      <c r="B2" s="15" t="s">
        <v>99</v>
      </c>
      <c r="C2" s="15" t="s">
        <v>141</v>
      </c>
      <c r="D2" s="16" t="s">
        <v>142</v>
      </c>
      <c r="E2" s="17"/>
      <c r="F2" s="16" t="s">
        <v>465</v>
      </c>
      <c r="G2" s="17"/>
      <c r="H2" s="16" t="s">
        <v>144</v>
      </c>
      <c r="I2" s="17"/>
      <c r="J2" s="16" t="s">
        <v>145</v>
      </c>
      <c r="K2" s="25"/>
      <c r="L2" s="17"/>
      <c r="M2" s="15" t="s">
        <v>71</v>
      </c>
    </row>
    <row r="3" spans="1:13" ht="14.25">
      <c r="A3" s="18"/>
      <c r="B3" s="18"/>
      <c r="C3" s="18"/>
      <c r="D3" s="19" t="s">
        <v>148</v>
      </c>
      <c r="E3" s="19" t="s">
        <v>147</v>
      </c>
      <c r="F3" s="19" t="s">
        <v>148</v>
      </c>
      <c r="G3" s="15" t="s">
        <v>142</v>
      </c>
      <c r="H3" s="15" t="s">
        <v>149</v>
      </c>
      <c r="I3" s="15" t="s">
        <v>150</v>
      </c>
      <c r="J3" s="15" t="s">
        <v>142</v>
      </c>
      <c r="K3" s="15" t="s">
        <v>152</v>
      </c>
      <c r="L3" s="15" t="s">
        <v>150</v>
      </c>
      <c r="M3" s="18"/>
    </row>
    <row r="4" spans="1:13" ht="15">
      <c r="A4" s="20"/>
      <c r="B4" s="20"/>
      <c r="C4" s="20"/>
      <c r="D4" s="21" t="s">
        <v>151</v>
      </c>
      <c r="E4" s="21" t="s">
        <v>151</v>
      </c>
      <c r="F4" s="21" t="s">
        <v>152</v>
      </c>
      <c r="G4" s="20"/>
      <c r="H4" s="20"/>
      <c r="I4" s="20"/>
      <c r="J4" s="20"/>
      <c r="K4" s="20"/>
      <c r="L4" s="20"/>
      <c r="M4" s="20"/>
    </row>
    <row r="5" spans="1:13" ht="15">
      <c r="A5" s="20" t="s">
        <v>466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</row>
    <row r="6" spans="1:13" ht="15">
      <c r="A6" s="23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</row>
    <row r="7" spans="1:13" ht="15">
      <c r="A7" s="23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</row>
    <row r="8" spans="1:13" ht="15">
      <c r="A8" s="23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</row>
  </sheetData>
  <sheetProtection/>
  <mergeCells count="15">
    <mergeCell ref="A1:M1"/>
    <mergeCell ref="D2:E2"/>
    <mergeCell ref="F2:G2"/>
    <mergeCell ref="H2:I2"/>
    <mergeCell ref="J2:L2"/>
    <mergeCell ref="A2:A4"/>
    <mergeCell ref="B2:B4"/>
    <mergeCell ref="C2:C4"/>
    <mergeCell ref="G3:G4"/>
    <mergeCell ref="H3:H4"/>
    <mergeCell ref="I3:I4"/>
    <mergeCell ref="J3:J4"/>
    <mergeCell ref="K3:K4"/>
    <mergeCell ref="L3:L4"/>
    <mergeCell ref="M2:M4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O17"/>
  <sheetViews>
    <sheetView tabSelected="1" workbookViewId="0" topLeftCell="A1">
      <selection activeCell="N14" sqref="N14"/>
    </sheetView>
  </sheetViews>
  <sheetFormatPr defaultColWidth="9.00390625" defaultRowHeight="14.25"/>
  <cols>
    <col min="1" max="2" width="9.00390625" style="1" customWidth="1"/>
    <col min="3" max="3" width="21.625" style="1" customWidth="1"/>
    <col min="4" max="5" width="9.00390625" style="1" customWidth="1"/>
    <col min="6" max="6" width="10.50390625" style="1" customWidth="1"/>
    <col min="7" max="7" width="10.375" style="1" customWidth="1"/>
    <col min="8" max="9" width="9.00390625" style="1" customWidth="1"/>
    <col min="10" max="10" width="11.50390625" style="1" customWidth="1"/>
    <col min="11" max="11" width="10.875" style="1" customWidth="1"/>
    <col min="12" max="12" width="9.00390625" style="1" customWidth="1"/>
    <col min="13" max="13" width="9.50390625" style="1" bestFit="1" customWidth="1"/>
    <col min="14" max="14" width="12.625" style="1" bestFit="1" customWidth="1"/>
    <col min="15" max="32" width="9.00390625" style="1" customWidth="1"/>
    <col min="33" max="16384" width="8.75390625" style="1" bestFit="1" customWidth="1"/>
  </cols>
  <sheetData>
    <row r="1" spans="1:15" ht="12.75">
      <c r="A1" s="2" t="s">
        <v>467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2.75">
      <c r="A2" s="3" t="s">
        <v>139</v>
      </c>
      <c r="B2" s="3" t="s">
        <v>468</v>
      </c>
      <c r="C2" s="3" t="s">
        <v>469</v>
      </c>
      <c r="D2" s="3" t="s">
        <v>470</v>
      </c>
      <c r="E2" s="3" t="s">
        <v>141</v>
      </c>
      <c r="F2" s="3" t="s">
        <v>142</v>
      </c>
      <c r="G2" s="3"/>
      <c r="H2" s="3" t="s">
        <v>465</v>
      </c>
      <c r="I2" s="3"/>
      <c r="J2" s="3" t="s">
        <v>144</v>
      </c>
      <c r="K2" s="3"/>
      <c r="L2" s="3" t="s">
        <v>145</v>
      </c>
      <c r="M2" s="3"/>
      <c r="N2" s="3"/>
      <c r="O2" s="3" t="s">
        <v>71</v>
      </c>
    </row>
    <row r="3" spans="1:15" ht="12.75">
      <c r="A3" s="3"/>
      <c r="B3" s="3"/>
      <c r="C3" s="3"/>
      <c r="D3" s="3" t="s">
        <v>471</v>
      </c>
      <c r="E3" s="3"/>
      <c r="F3" s="3" t="s">
        <v>148</v>
      </c>
      <c r="G3" s="3" t="s">
        <v>147</v>
      </c>
      <c r="H3" s="3" t="s">
        <v>148</v>
      </c>
      <c r="I3" s="3" t="s">
        <v>147</v>
      </c>
      <c r="J3" s="3" t="s">
        <v>148</v>
      </c>
      <c r="K3" s="3" t="s">
        <v>147</v>
      </c>
      <c r="L3" s="3" t="s">
        <v>472</v>
      </c>
      <c r="M3" s="3" t="s">
        <v>152</v>
      </c>
      <c r="N3" s="3" t="s">
        <v>150</v>
      </c>
      <c r="O3" s="3"/>
    </row>
    <row r="4" spans="1:15" ht="12.75">
      <c r="A4" s="3"/>
      <c r="B4" s="3"/>
      <c r="C4" s="3"/>
      <c r="D4" s="4"/>
      <c r="E4" s="3"/>
      <c r="F4" s="3" t="s">
        <v>151</v>
      </c>
      <c r="G4" s="3" t="s">
        <v>151</v>
      </c>
      <c r="H4" s="3" t="s">
        <v>152</v>
      </c>
      <c r="I4" s="3" t="s">
        <v>152</v>
      </c>
      <c r="J4" s="3" t="s">
        <v>150</v>
      </c>
      <c r="K4" s="3" t="s">
        <v>150</v>
      </c>
      <c r="L4" s="3" t="s">
        <v>151</v>
      </c>
      <c r="M4" s="3"/>
      <c r="N4" s="3"/>
      <c r="O4" s="3"/>
    </row>
    <row r="5" spans="1:15" ht="27" customHeight="1">
      <c r="A5" s="5">
        <v>1</v>
      </c>
      <c r="B5" s="6" t="s">
        <v>473</v>
      </c>
      <c r="C5" s="7" t="s">
        <v>474</v>
      </c>
      <c r="D5" s="5"/>
      <c r="E5" s="8" t="s">
        <v>475</v>
      </c>
      <c r="F5" s="9">
        <f>110.56+0.168</f>
        <v>110.72800000000001</v>
      </c>
      <c r="G5" s="9">
        <v>259.362382</v>
      </c>
      <c r="H5" s="10">
        <f>3569</f>
        <v>3569</v>
      </c>
      <c r="I5" s="10">
        <f>K5/G5</f>
        <v>3577.6271955969305</v>
      </c>
      <c r="J5" s="10">
        <f>F5*H5</f>
        <v>395188.232</v>
      </c>
      <c r="K5" s="10">
        <f>925664.341358+2237.57</f>
        <v>927901.9113579999</v>
      </c>
      <c r="L5" s="10">
        <f>G5-F5</f>
        <v>148.63438200000002</v>
      </c>
      <c r="M5" s="10">
        <f>I5-H5</f>
        <v>8.627195596930505</v>
      </c>
      <c r="N5" s="10">
        <f>K5-J5</f>
        <v>532713.6793579999</v>
      </c>
      <c r="O5" s="6" t="s">
        <v>476</v>
      </c>
    </row>
    <row r="6" spans="1:15" ht="27" customHeight="1">
      <c r="A6" s="5">
        <v>2</v>
      </c>
      <c r="B6" s="6" t="s">
        <v>473</v>
      </c>
      <c r="C6" s="7" t="s">
        <v>477</v>
      </c>
      <c r="D6" s="5"/>
      <c r="E6" s="8" t="s">
        <v>475</v>
      </c>
      <c r="F6" s="9">
        <v>860.74</v>
      </c>
      <c r="G6" s="9">
        <v>905.87424</v>
      </c>
      <c r="H6" s="10">
        <f>3431</f>
        <v>3431</v>
      </c>
      <c r="I6" s="10">
        <f>K6/G6</f>
        <v>3520.6255753999585</v>
      </c>
      <c r="J6" s="10">
        <f>F6*H6</f>
        <v>2953198.94</v>
      </c>
      <c r="K6" s="10">
        <f>3108054.51744+81189.5</f>
        <v>3189244.01744</v>
      </c>
      <c r="L6" s="10">
        <f>G6-F6</f>
        <v>45.13423999999998</v>
      </c>
      <c r="M6" s="10">
        <f>I6-H6</f>
        <v>89.6255753999585</v>
      </c>
      <c r="N6" s="10">
        <f>K6-J6</f>
        <v>236045.07744000014</v>
      </c>
      <c r="O6" s="5"/>
    </row>
    <row r="7" spans="1:15" ht="27" customHeight="1">
      <c r="A7" s="5">
        <v>3</v>
      </c>
      <c r="B7" s="6" t="s">
        <v>473</v>
      </c>
      <c r="C7" s="7" t="s">
        <v>478</v>
      </c>
      <c r="D7" s="5"/>
      <c r="E7" s="8" t="s">
        <v>475</v>
      </c>
      <c r="F7" s="9">
        <v>529.86</v>
      </c>
      <c r="G7" s="9">
        <v>510.9792</v>
      </c>
      <c r="H7" s="10">
        <f>3477</f>
        <v>3477</v>
      </c>
      <c r="I7" s="10">
        <f>K7/G7</f>
        <v>3569.3473988765104</v>
      </c>
      <c r="J7" s="10">
        <f>F7*H7</f>
        <v>1842323.22</v>
      </c>
      <c r="K7" s="10">
        <f>1776674.6784+47187.6</f>
        <v>1823862.2784000002</v>
      </c>
      <c r="L7" s="10">
        <f>G7-F7</f>
        <v>-18.880800000000022</v>
      </c>
      <c r="M7" s="10">
        <f>I7-H7</f>
        <v>92.3473988765104</v>
      </c>
      <c r="N7" s="10">
        <f>K7-J7</f>
        <v>-18460.941599999787</v>
      </c>
      <c r="O7" s="5"/>
    </row>
    <row r="8" spans="1:15" ht="27" customHeight="1">
      <c r="A8" s="5">
        <v>4</v>
      </c>
      <c r="B8" s="6" t="s">
        <v>473</v>
      </c>
      <c r="C8" s="11" t="s">
        <v>479</v>
      </c>
      <c r="D8" s="5"/>
      <c r="E8" s="8" t="s">
        <v>154</v>
      </c>
      <c r="F8" s="9">
        <v>700.25865</v>
      </c>
      <c r="G8" s="9">
        <v>716.98585</v>
      </c>
      <c r="H8" s="10">
        <v>351</v>
      </c>
      <c r="I8" s="10">
        <f>K8/G8</f>
        <v>381.97864483657526</v>
      </c>
      <c r="J8" s="10">
        <f>F8*H8</f>
        <v>245790.78615</v>
      </c>
      <c r="K8" s="10">
        <f>251662.03335+22211.25</f>
        <v>273873.28335000004</v>
      </c>
      <c r="L8" s="10">
        <f>G8-F8</f>
        <v>16.72720000000004</v>
      </c>
      <c r="M8" s="10">
        <f>I8-H8</f>
        <v>30.978644836575256</v>
      </c>
      <c r="N8" s="10">
        <f>K8-J8</f>
        <v>28082.49720000004</v>
      </c>
      <c r="O8" s="5"/>
    </row>
    <row r="9" spans="1:15" ht="27" customHeight="1">
      <c r="A9" s="5">
        <v>6</v>
      </c>
      <c r="B9" s="6" t="s">
        <v>473</v>
      </c>
      <c r="C9" s="11" t="s">
        <v>480</v>
      </c>
      <c r="D9" s="5"/>
      <c r="E9" s="8" t="s">
        <v>154</v>
      </c>
      <c r="F9" s="9">
        <f>3055.39318+83.1096</f>
        <v>3138.50278</v>
      </c>
      <c r="G9" s="9">
        <f>3031.34158+102.4998+83.1096</f>
        <v>3216.9509799999996</v>
      </c>
      <c r="H9" s="10">
        <v>381</v>
      </c>
      <c r="I9" s="10">
        <f aca="true" t="shared" si="0" ref="I9:I17">K9/G9</f>
        <v>474.183713977513</v>
      </c>
      <c r="J9" s="10">
        <f aca="true" t="shared" si="1" ref="J9:J17">F9*H9</f>
        <v>1195769.5591799999</v>
      </c>
      <c r="K9" s="10">
        <f>1225658.32338+299767.44</f>
        <v>1525425.76338</v>
      </c>
      <c r="L9" s="10">
        <f aca="true" t="shared" si="2" ref="L9:L17">G9-F9</f>
        <v>78.44819999999982</v>
      </c>
      <c r="M9" s="10">
        <f aca="true" t="shared" si="3" ref="M9:M17">I9-H9</f>
        <v>93.18371397751298</v>
      </c>
      <c r="N9" s="10">
        <f aca="true" t="shared" si="4" ref="N9:N17">K9-J9</f>
        <v>329656.20420000004</v>
      </c>
      <c r="O9" s="5"/>
    </row>
    <row r="10" spans="1:15" ht="27" customHeight="1">
      <c r="A10" s="5">
        <v>8</v>
      </c>
      <c r="B10" s="6" t="s">
        <v>473</v>
      </c>
      <c r="C10" s="12" t="s">
        <v>481</v>
      </c>
      <c r="D10" s="5"/>
      <c r="E10" s="8" t="s">
        <v>154</v>
      </c>
      <c r="F10" s="9">
        <v>720.324</v>
      </c>
      <c r="G10" s="9">
        <v>713.541</v>
      </c>
      <c r="H10" s="10">
        <v>396</v>
      </c>
      <c r="I10" s="10">
        <f t="shared" si="0"/>
        <v>490.1998707852807</v>
      </c>
      <c r="J10" s="10">
        <f t="shared" si="1"/>
        <v>285248.304</v>
      </c>
      <c r="K10" s="10">
        <f>282562.236+67215.47</f>
        <v>349777.706</v>
      </c>
      <c r="L10" s="10">
        <f t="shared" si="2"/>
        <v>-6.782999999999902</v>
      </c>
      <c r="M10" s="10">
        <f t="shared" si="3"/>
        <v>94.19987078528072</v>
      </c>
      <c r="N10" s="10">
        <f t="shared" si="4"/>
        <v>64529.402</v>
      </c>
      <c r="O10" s="5"/>
    </row>
    <row r="11" spans="1:15" ht="27" customHeight="1">
      <c r="A11" s="5">
        <v>10</v>
      </c>
      <c r="B11" s="6" t="s">
        <v>473</v>
      </c>
      <c r="C11" s="11" t="s">
        <v>482</v>
      </c>
      <c r="D11" s="5"/>
      <c r="E11" s="8" t="s">
        <v>154</v>
      </c>
      <c r="F11" s="9">
        <v>20.2062</v>
      </c>
      <c r="G11" s="9">
        <v>20.2062</v>
      </c>
      <c r="H11" s="10">
        <v>396</v>
      </c>
      <c r="I11" s="10">
        <f t="shared" si="0"/>
        <v>490.71795785451997</v>
      </c>
      <c r="J11" s="10">
        <f t="shared" si="1"/>
        <v>8001.655199999999</v>
      </c>
      <c r="K11" s="10">
        <f>8001.6552+1913.89</f>
        <v>9915.5452</v>
      </c>
      <c r="L11" s="10">
        <f t="shared" si="2"/>
        <v>0</v>
      </c>
      <c r="M11" s="10">
        <f t="shared" si="3"/>
        <v>94.71795785451997</v>
      </c>
      <c r="N11" s="10">
        <f t="shared" si="4"/>
        <v>1913.8900000000012</v>
      </c>
      <c r="O11" s="5"/>
    </row>
    <row r="12" spans="1:15" ht="27" customHeight="1">
      <c r="A12" s="5">
        <v>11</v>
      </c>
      <c r="B12" s="6" t="s">
        <v>473</v>
      </c>
      <c r="C12" s="12" t="s">
        <v>483</v>
      </c>
      <c r="D12" s="5"/>
      <c r="E12" s="8" t="s">
        <v>154</v>
      </c>
      <c r="F12" s="9">
        <v>5025.40883</v>
      </c>
      <c r="G12" s="9">
        <v>4962.23651</v>
      </c>
      <c r="H12" s="10">
        <v>406</v>
      </c>
      <c r="I12" s="10">
        <f t="shared" si="0"/>
        <v>500.9500671825092</v>
      </c>
      <c r="J12" s="10">
        <f t="shared" si="1"/>
        <v>2040315.9849800002</v>
      </c>
      <c r="K12" s="10">
        <f>2014668.02306+471164.69</f>
        <v>2485832.71306</v>
      </c>
      <c r="L12" s="10">
        <f t="shared" si="2"/>
        <v>-63.17232000000058</v>
      </c>
      <c r="M12" s="10">
        <f t="shared" si="3"/>
        <v>94.9500671825092</v>
      </c>
      <c r="N12" s="10">
        <f t="shared" si="4"/>
        <v>445516.7280799998</v>
      </c>
      <c r="O12" s="5"/>
    </row>
    <row r="13" spans="1:15" ht="27" customHeight="1">
      <c r="A13" s="5">
        <v>12</v>
      </c>
      <c r="B13" s="6" t="s">
        <v>473</v>
      </c>
      <c r="C13" s="12" t="s">
        <v>484</v>
      </c>
      <c r="D13" s="5"/>
      <c r="E13" s="8" t="s">
        <v>154</v>
      </c>
      <c r="F13" s="9">
        <v>124.50252</v>
      </c>
      <c r="G13" s="9">
        <v>88.00756</v>
      </c>
      <c r="H13" s="10">
        <v>421</v>
      </c>
      <c r="I13" s="10">
        <f t="shared" si="0"/>
        <v>515.2025889594031</v>
      </c>
      <c r="J13" s="10">
        <f t="shared" si="1"/>
        <v>52415.56092</v>
      </c>
      <c r="K13" s="10">
        <f>37051.18276+8290.54</f>
        <v>45341.722760000004</v>
      </c>
      <c r="L13" s="10">
        <f t="shared" si="2"/>
        <v>-36.494960000000006</v>
      </c>
      <c r="M13" s="10">
        <f t="shared" si="3"/>
        <v>94.2025889594031</v>
      </c>
      <c r="N13" s="10">
        <f t="shared" si="4"/>
        <v>-7073.838159999999</v>
      </c>
      <c r="O13" s="5"/>
    </row>
    <row r="14" spans="1:15" ht="27" customHeight="1">
      <c r="A14" s="5">
        <v>13</v>
      </c>
      <c r="B14" s="6" t="s">
        <v>473</v>
      </c>
      <c r="C14" s="11" t="s">
        <v>485</v>
      </c>
      <c r="D14" s="5"/>
      <c r="E14" s="8" t="s">
        <v>154</v>
      </c>
      <c r="F14" s="9">
        <v>900.191523</v>
      </c>
      <c r="G14" s="9">
        <v>899.63713</v>
      </c>
      <c r="H14" s="10">
        <v>349</v>
      </c>
      <c r="I14" s="10">
        <f t="shared" si="0"/>
        <v>483.55042701494546</v>
      </c>
      <c r="J14" s="10">
        <f t="shared" si="1"/>
        <v>314166.841527</v>
      </c>
      <c r="K14" s="10">
        <f>313973.35837+121046.56</f>
        <v>435019.91836999997</v>
      </c>
      <c r="L14" s="10">
        <f t="shared" si="2"/>
        <v>-0.5543930000000046</v>
      </c>
      <c r="M14" s="10">
        <f t="shared" si="3"/>
        <v>134.55042701494546</v>
      </c>
      <c r="N14" s="10">
        <f t="shared" si="4"/>
        <v>120853.07684299996</v>
      </c>
      <c r="O14" s="5"/>
    </row>
    <row r="15" spans="1:15" ht="27" customHeight="1">
      <c r="A15" s="5">
        <v>14</v>
      </c>
      <c r="B15" s="6" t="s">
        <v>473</v>
      </c>
      <c r="C15" s="11" t="s">
        <v>486</v>
      </c>
      <c r="D15" s="5"/>
      <c r="E15" s="8" t="s">
        <v>154</v>
      </c>
      <c r="F15" s="9">
        <v>1057.453284</v>
      </c>
      <c r="G15" s="9">
        <v>1059.209892</v>
      </c>
      <c r="H15" s="10">
        <v>359</v>
      </c>
      <c r="I15" s="10">
        <f t="shared" si="0"/>
        <v>397.05084365658473</v>
      </c>
      <c r="J15" s="10">
        <f t="shared" si="1"/>
        <v>379625.728956</v>
      </c>
      <c r="K15" s="10">
        <f>380256.351228+40303.83</f>
        <v>420560.18122800003</v>
      </c>
      <c r="L15" s="10">
        <f t="shared" si="2"/>
        <v>1.756608000000142</v>
      </c>
      <c r="M15" s="10">
        <f t="shared" si="3"/>
        <v>38.05084365658473</v>
      </c>
      <c r="N15" s="10">
        <f t="shared" si="4"/>
        <v>40934.452272000024</v>
      </c>
      <c r="O15" s="5"/>
    </row>
    <row r="16" spans="1:15" ht="27" customHeight="1">
      <c r="A16" s="5">
        <v>15</v>
      </c>
      <c r="B16" s="6" t="s">
        <v>473</v>
      </c>
      <c r="C16" s="11" t="s">
        <v>487</v>
      </c>
      <c r="D16" s="5"/>
      <c r="E16" s="8" t="s">
        <v>154</v>
      </c>
      <c r="F16" s="9">
        <f>239.835+0.8364</f>
        <v>240.6714</v>
      </c>
      <c r="G16" s="9">
        <f>178.0368+0.8364</f>
        <v>178.8732</v>
      </c>
      <c r="H16" s="10">
        <v>369</v>
      </c>
      <c r="I16" s="10">
        <f t="shared" si="0"/>
        <v>462.8413356500582</v>
      </c>
      <c r="J16" s="10">
        <f t="shared" si="1"/>
        <v>88807.7466</v>
      </c>
      <c r="K16" s="10">
        <f>66004.2108+16785.7</f>
        <v>82789.9108</v>
      </c>
      <c r="L16" s="10">
        <f t="shared" si="2"/>
        <v>-61.79820000000001</v>
      </c>
      <c r="M16" s="10">
        <f t="shared" si="3"/>
        <v>93.84133565005823</v>
      </c>
      <c r="N16" s="10">
        <f t="shared" si="4"/>
        <v>-6017.835800000001</v>
      </c>
      <c r="O16" s="5"/>
    </row>
    <row r="17" spans="1:15" ht="27" customHeight="1">
      <c r="A17" s="5">
        <v>17</v>
      </c>
      <c r="B17" s="6" t="s">
        <v>473</v>
      </c>
      <c r="C17" s="11" t="s">
        <v>488</v>
      </c>
      <c r="D17" s="5"/>
      <c r="E17" s="8" t="s">
        <v>154</v>
      </c>
      <c r="F17" s="9">
        <v>301.152313</v>
      </c>
      <c r="G17" s="9">
        <f>301.152313+110.362371</f>
        <v>411.514684</v>
      </c>
      <c r="H17" s="10">
        <v>379</v>
      </c>
      <c r="I17" s="10">
        <f t="shared" si="0"/>
        <v>401.5596810052105</v>
      </c>
      <c r="J17" s="10">
        <f t="shared" si="1"/>
        <v>114136.726627</v>
      </c>
      <c r="K17" s="10">
        <f>155964.065236+9283.64</f>
        <v>165247.705236</v>
      </c>
      <c r="L17" s="10">
        <f t="shared" si="2"/>
        <v>110.362371</v>
      </c>
      <c r="M17" s="10">
        <f t="shared" si="3"/>
        <v>22.559681005210507</v>
      </c>
      <c r="N17" s="10">
        <f t="shared" si="4"/>
        <v>51110.97860900001</v>
      </c>
      <c r="O17" s="5"/>
    </row>
  </sheetData>
  <sheetProtection/>
  <mergeCells count="13">
    <mergeCell ref="A1:O1"/>
    <mergeCell ref="F2:G2"/>
    <mergeCell ref="H2:I2"/>
    <mergeCell ref="J2:K2"/>
    <mergeCell ref="L2:N2"/>
    <mergeCell ref="A2:A4"/>
    <mergeCell ref="B2:B4"/>
    <mergeCell ref="C2:C4"/>
    <mergeCell ref="E2:E4"/>
    <mergeCell ref="M3:M4"/>
    <mergeCell ref="N3:N4"/>
    <mergeCell ref="O2:O4"/>
    <mergeCell ref="O5:O1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sofar</dc:creator>
  <cp:keywords/>
  <dc:description/>
  <cp:lastModifiedBy>小九九</cp:lastModifiedBy>
  <cp:lastPrinted>2012-11-30T00:33:18Z</cp:lastPrinted>
  <dcterms:created xsi:type="dcterms:W3CDTF">2011-05-12T07:07:39Z</dcterms:created>
  <dcterms:modified xsi:type="dcterms:W3CDTF">2024-01-10T08:54:30Z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3CD98E5F79D3456A999476904764983D_13</vt:lpwstr>
  </property>
</Properties>
</file>