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941" firstSheet="1" activeTab="8"/>
  </bookViews>
  <sheets>
    <sheet name="YZYZNMO" sheetId="1" state="hidden" r:id="rId1"/>
    <sheet name="工程概况" sheetId="2" r:id="rId2"/>
    <sheet name="工程总造价构成及主要指标" sheetId="3" r:id="rId3"/>
    <sheet name="建筑工程费用组成分析表" sheetId="4" r:id="rId4"/>
    <sheet name="安装工程费用组成分析表 " sheetId="5" r:id="rId5"/>
    <sheet name="分部分项工程量及主要费用增减表" sheetId="6" r:id="rId6"/>
    <sheet name="措施项目费和其他项目费增减表" sheetId="7" r:id="rId7"/>
    <sheet name="计日工费用增减表" sheetId="8" r:id="rId8"/>
    <sheet name="主要材料和设备增减表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<sst xmlns="http://schemas.openxmlformats.org/spreadsheetml/2006/main" count="378" uniqueCount="214">
  <si>
    <t>（一）工程概况</t>
  </si>
  <si>
    <t>工程名称</t>
  </si>
  <si>
    <t>扬州大学某校区教学楼施工工程</t>
  </si>
  <si>
    <t>工程所在地</t>
  </si>
  <si>
    <t>扬州市</t>
  </si>
  <si>
    <t>建设单位</t>
  </si>
  <si>
    <t>扬州大学</t>
  </si>
  <si>
    <t>设计单位</t>
  </si>
  <si>
    <t>江苏省盐城市某设计院有限公司</t>
  </si>
  <si>
    <t>施工企业</t>
  </si>
  <si>
    <t>某集团有限公司</t>
  </si>
  <si>
    <t>造价咨询企业</t>
  </si>
  <si>
    <t>江苏某投资咨询管理有限公司</t>
  </si>
  <si>
    <t>开工日期</t>
  </si>
  <si>
    <t>2017-7-3</t>
  </si>
  <si>
    <t>竣工日期</t>
  </si>
  <si>
    <t>2018-10-23</t>
  </si>
  <si>
    <t>合同工期</t>
  </si>
  <si>
    <t>实际工期</t>
  </si>
  <si>
    <t>工程用途</t>
  </si>
  <si>
    <t>教学楼</t>
  </si>
  <si>
    <t>结构类型</t>
  </si>
  <si>
    <t>框架结构</t>
  </si>
  <si>
    <t>建筑面积(m2)</t>
  </si>
  <si>
    <t>地上层数</t>
  </si>
  <si>
    <t>上部五层（局部3、4层）</t>
  </si>
  <si>
    <t>地下层数</t>
  </si>
  <si>
    <t>地下一层</t>
  </si>
  <si>
    <t>檐口高度(m)</t>
  </si>
  <si>
    <t>计价方式</t>
  </si>
  <si>
    <t>工程量清单计价</t>
  </si>
  <si>
    <t>合同类型</t>
  </si>
  <si>
    <t>固定单价</t>
  </si>
  <si>
    <t>投资类型</t>
  </si>
  <si>
    <t>国有</t>
  </si>
  <si>
    <t>工  程  特  征  描  述</t>
  </si>
  <si>
    <t>土石方工程</t>
  </si>
  <si>
    <t>1、土壤类别：详见本工程地勘报告
2、挖土深度：5.45m
3、弃土运距：投标人自行考虑</t>
  </si>
  <si>
    <t>外墙保温节能</t>
  </si>
  <si>
    <t>30厚岩棉板，保温层A级</t>
  </si>
  <si>
    <t>基础工程</t>
  </si>
  <si>
    <t>满堂基础，C30P6，掺抗裂纤维和高效低碱膨胀剂</t>
  </si>
  <si>
    <t>门窗工程</t>
  </si>
  <si>
    <t>常闭型甲级防火门、甲级防火隔声门、常闭型丙级防火门、特级复合防火卷帘门、钢筋砼活门槛单扇防护密闭门、 钢筋砼活门槛单扇密闭门、钢筋砼防护密闭门、 钢筋砼密闭门、悬摆式防爆波活门、钢结构双扇防护密闭门、铝合金防雨百叶窗、木质甲级防火门、木质乙级防火门、木质丙级防火门、隔热铝合金多腔组合平开门、隔热铝合金多腔推拉窗、隔热铝合金多腔内平开窗、隔热铝合金固定窗、铝合金框推拉窗、铝合金框固定装饰窗、隔热铝合金多腔防火救援窗</t>
  </si>
  <si>
    <t>柱梁板工程</t>
  </si>
  <si>
    <t>地下一层柱混凝土等级C40P6，掺抗裂纤维和高效低碱膨胀剂，地上一到三层混凝土等级C40，地上四到五层混凝土等级C30</t>
  </si>
  <si>
    <t>电气工程</t>
  </si>
  <si>
    <t>动力照明、防雷接地系统，桥架电缆、配电箱柜、管道、照明器具安装等</t>
  </si>
  <si>
    <t>墙体工程</t>
  </si>
  <si>
    <t>±0.00以上外墙采用A5.0 B06级蒸压砂加气混凝土砌块，内墙采用A5.0 B06级粉煤灰加气混凝土砌块，地下室内墙采用A3.5级B06蒸压粉煤灰加气砼砌块</t>
  </si>
  <si>
    <t>给排水工程</t>
  </si>
  <si>
    <t>给水、排水、雨水系统，管道、阀门、卫生洁具安装等</t>
  </si>
  <si>
    <t>楼地面工程</t>
  </si>
  <si>
    <t>地下汽车库地面：细石混凝土地面；地上地面：细石混凝土地面、300*300防滑地砖地面、防滑花岗岩石材地面、800*800防滑地砖地面、抗静电复合地板地面。</t>
  </si>
  <si>
    <t>弱电工程</t>
  </si>
  <si>
    <t>电铃、电话、网络系统，桥架、管盒安装等</t>
  </si>
  <si>
    <t>屋盖工程</t>
  </si>
  <si>
    <t>最薄30厚LC7.5轻集料混凝土找坡，坡度2%，70厚XPS挤塑聚苯板，20厚WPM20预拌砂浆找平，1.5厚聚氨酯防水、4厚SBS防水，10厚粗砂隔离层、50厚C30细石混凝土，内设Φ4@150双向焊接钢筋网</t>
  </si>
  <si>
    <t>暖通空调</t>
  </si>
  <si>
    <t>通风、防排烟系统，风口风阀、通风机安装等</t>
  </si>
  <si>
    <t>内墙饰面</t>
  </si>
  <si>
    <t>地下室：批白水泥腻子两道、刷白色防霉乳胶漆两道；地上：2厚耐水腻子刮平、乳胶漆涂料两度，卫生间瓷砖墙面。</t>
  </si>
  <si>
    <t>消防工程</t>
  </si>
  <si>
    <t>消火栓、喷淋、消防报警各系统，水泵设备、管道、阀门、报警设备、电气管道、线缆安装调试等</t>
  </si>
  <si>
    <t>外墙饰面</t>
  </si>
  <si>
    <t>干挂石材墙面、真石漆墙面、外墙涂料</t>
  </si>
  <si>
    <t>（二）工程总造价构成及主要指标 （元）</t>
  </si>
  <si>
    <t>内容</t>
  </si>
  <si>
    <t>合同价</t>
  </si>
  <si>
    <t>结算价</t>
  </si>
  <si>
    <t>差    异</t>
  </si>
  <si>
    <t>差异主要原因</t>
  </si>
  <si>
    <t>总造价</t>
  </si>
  <si>
    <t>每平方米</t>
  </si>
  <si>
    <t>占总造价％</t>
  </si>
  <si>
    <t>总价</t>
  </si>
  <si>
    <t>±％</t>
  </si>
  <si>
    <t>（±元）</t>
  </si>
  <si>
    <t>其中</t>
  </si>
  <si>
    <t>土建工程</t>
  </si>
  <si>
    <t>增加室内装饰及室外配套工程、人工材料调差</t>
  </si>
  <si>
    <t>安装工程</t>
  </si>
  <si>
    <t>暂列金扣除，工程量差异</t>
  </si>
  <si>
    <t>其他</t>
  </si>
  <si>
    <t>结算后主要材料和人工消耗量指标</t>
  </si>
  <si>
    <t>钢材用量(t)</t>
  </si>
  <si>
    <t>钢材消耗指标(kg/m2)</t>
  </si>
  <si>
    <t>水泥用量(t)</t>
  </si>
  <si>
    <t>水泥消耗指标(t/m2)</t>
  </si>
  <si>
    <t>木材用量（m3）</t>
  </si>
  <si>
    <t>木材消耗指标(m3/m2)</t>
  </si>
  <si>
    <t>人工工日用量(工日)</t>
  </si>
  <si>
    <t>人工工日</t>
  </si>
  <si>
    <t>消耗指标</t>
  </si>
  <si>
    <t>（三）建筑工程费用组成分析表</t>
  </si>
  <si>
    <t>单位工程名称</t>
  </si>
  <si>
    <t>项目名称</t>
  </si>
  <si>
    <t>合同造价</t>
  </si>
  <si>
    <t>占合同</t>
  </si>
  <si>
    <t>平米合同造价（元/㎡）</t>
  </si>
  <si>
    <t>结算造价</t>
  </si>
  <si>
    <t>占结算</t>
  </si>
  <si>
    <t>平米结算造价（元/㎡）</t>
  </si>
  <si>
    <t>（元）</t>
  </si>
  <si>
    <t>造价％</t>
  </si>
  <si>
    <t>结算价减合同价（±元）</t>
  </si>
  <si>
    <t>建筑工程</t>
  </si>
  <si>
    <t>大型土石方</t>
  </si>
  <si>
    <t>工程量调整</t>
  </si>
  <si>
    <t>护坡工程</t>
  </si>
  <si>
    <t>地下土建</t>
  </si>
  <si>
    <t>部分项取消或未做</t>
  </si>
  <si>
    <t>地上土建</t>
  </si>
  <si>
    <t>一</t>
  </si>
  <si>
    <t>分部分项工程费</t>
  </si>
  <si>
    <t>人工费</t>
  </si>
  <si>
    <t>材料费</t>
  </si>
  <si>
    <t>机械费</t>
  </si>
  <si>
    <t>管理费</t>
  </si>
  <si>
    <t>利润</t>
  </si>
  <si>
    <t>二</t>
  </si>
  <si>
    <t>措施项目费</t>
  </si>
  <si>
    <t>取费调整</t>
  </si>
  <si>
    <t>三</t>
  </si>
  <si>
    <t>其他项目费</t>
  </si>
  <si>
    <t>四</t>
  </si>
  <si>
    <t>规费</t>
  </si>
  <si>
    <t>五</t>
  </si>
  <si>
    <t>税金</t>
  </si>
  <si>
    <t>六</t>
  </si>
  <si>
    <t>扣甲供材</t>
  </si>
  <si>
    <t>七</t>
  </si>
  <si>
    <t>让利</t>
  </si>
  <si>
    <t>合计</t>
  </si>
  <si>
    <t>（四）安装工程费用组成分析表</t>
  </si>
  <si>
    <t>地上水电</t>
  </si>
  <si>
    <t>工程量偏差</t>
  </si>
  <si>
    <t>地下水电</t>
  </si>
  <si>
    <t>地上消防</t>
  </si>
  <si>
    <t>地下消防</t>
  </si>
  <si>
    <t>地上暖通</t>
  </si>
  <si>
    <t>地下暖通</t>
  </si>
  <si>
    <t>变更签证</t>
  </si>
  <si>
    <t>暂列金额</t>
  </si>
  <si>
    <t>工程排污费</t>
  </si>
  <si>
    <t>（五）分部分项工程量及主要费用增减表</t>
  </si>
  <si>
    <t>序号</t>
  </si>
  <si>
    <t>项目编码</t>
  </si>
  <si>
    <t>计量单位</t>
  </si>
  <si>
    <t>工程数量</t>
  </si>
  <si>
    <t>综合单价（元）</t>
  </si>
  <si>
    <t>合价（元）</t>
  </si>
  <si>
    <r>
      <t>差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异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（结算减合同±）</t>
    </r>
  </si>
  <si>
    <t>合同数量</t>
  </si>
  <si>
    <t>结算</t>
  </si>
  <si>
    <t>合同</t>
  </si>
  <si>
    <t>综合单价</t>
  </si>
  <si>
    <t>合价</t>
  </si>
  <si>
    <t>数量</t>
  </si>
  <si>
    <t>单价</t>
  </si>
  <si>
    <t>独立费</t>
  </si>
  <si>
    <t>人工调差</t>
  </si>
  <si>
    <t>项</t>
  </si>
  <si>
    <t>按合同约定调整</t>
  </si>
  <si>
    <t>土建材料调差</t>
  </si>
  <si>
    <t>其他材料调差</t>
  </si>
  <si>
    <t>扬州大学瘦西湖校区教学楼室内装修装饰工程</t>
  </si>
  <si>
    <t>合同外增加</t>
  </si>
  <si>
    <t>瘦西湖校区室外配套工程</t>
  </si>
  <si>
    <t>专业分包工程</t>
  </si>
  <si>
    <t>土建签证</t>
  </si>
  <si>
    <t>签证增加</t>
  </si>
  <si>
    <t>土建变更</t>
  </si>
  <si>
    <t>变更增加</t>
  </si>
  <si>
    <t>工程量调整，部分变更</t>
  </si>
  <si>
    <t>安装合同外增加项目</t>
  </si>
  <si>
    <t>清单漏项、设计变更调整</t>
  </si>
  <si>
    <t>安装变更签证</t>
  </si>
  <si>
    <t>（六）措施项目费和其他项目费增减表</t>
  </si>
  <si>
    <t>差异（结算减合同±）</t>
  </si>
  <si>
    <t>混凝土模板及支架</t>
  </si>
  <si>
    <t>暂列金额扣除</t>
  </si>
  <si>
    <t>装饰工程脚手架及垂直运输费</t>
  </si>
  <si>
    <t>专业工程暂估价</t>
  </si>
  <si>
    <t>专业工程暂估价扣除</t>
  </si>
  <si>
    <t>室外配套工程大型机械设备进出场及安拆及模板、脚手架费用</t>
  </si>
  <si>
    <t>地下土建变更增加</t>
  </si>
  <si>
    <t>装饰工程总价措施费</t>
  </si>
  <si>
    <t>室外配套总价措施费</t>
  </si>
  <si>
    <t>安装工程总价措施费</t>
  </si>
  <si>
    <t>安装工程单价措施费</t>
  </si>
  <si>
    <t>（七）计日工费用增减表</t>
  </si>
  <si>
    <t>单价（元）</t>
  </si>
  <si>
    <t>无</t>
  </si>
  <si>
    <t>（八）主要材料和设备增减表</t>
  </si>
  <si>
    <r>
      <t>甲供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乙供</t>
    </r>
  </si>
  <si>
    <t>材料名称</t>
  </si>
  <si>
    <t>材料</t>
  </si>
  <si>
    <t>规格</t>
  </si>
  <si>
    <t>工程</t>
  </si>
  <si>
    <t>护坡工程材料调差</t>
  </si>
  <si>
    <t>元</t>
  </si>
  <si>
    <t>材料价格按合同约定调整</t>
  </si>
  <si>
    <t>地下土建材料调差</t>
  </si>
  <si>
    <t>地下人防门材料调差</t>
  </si>
  <si>
    <t>地上土建材料调差</t>
  </si>
  <si>
    <t>8#签证-已有单价材料调差</t>
  </si>
  <si>
    <t>签证-地上已有单价材料调差</t>
  </si>
  <si>
    <t>签证-地上重新组价材料调差</t>
  </si>
  <si>
    <t>变更-地下已有单价材料调差</t>
  </si>
  <si>
    <t>变更-地下重新组价材料调差</t>
  </si>
  <si>
    <t>变更-地上已有单价材料调差</t>
  </si>
  <si>
    <t>变更-地上重新组价材料调差</t>
  </si>
  <si>
    <t>室外配套工程材料价调差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</si>
</sst>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\-0.000;;"/>
    <numFmt numFmtId="177" formatCode="0.00_);[Red]\(0.00\)"/>
    <numFmt numFmtId="178" formatCode="0.000_);[Red]\(0.000\)"/>
    <numFmt numFmtId="179" formatCode="0.00_ "/>
    <numFmt numFmtId="180" formatCode="0.00_ ;\-0.00;;"/>
    <numFmt numFmtId="181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0.5"/>
      <name val="黑体"/>
      <family val="3"/>
    </font>
    <font>
      <b/>
      <sz val="10.5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76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10" fontId="2" fillId="0" borderId="18" xfId="0" applyNumberFormat="1" applyFont="1" applyFill="1" applyBorder="1" applyAlignment="1">
      <alignment horizontal="center" wrapText="1"/>
    </xf>
    <xf numFmtId="179" fontId="2" fillId="0" borderId="18" xfId="0" applyNumberFormat="1" applyFont="1" applyFill="1" applyBorder="1" applyAlignment="1">
      <alignment horizont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wrapText="1"/>
    </xf>
    <xf numFmtId="179" fontId="2" fillId="0" borderId="14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10" fontId="2" fillId="0" borderId="18" xfId="0" applyNumberFormat="1" applyFont="1" applyFill="1" applyBorder="1" applyAlignment="1">
      <alignment horizontal="right" wrapText="1"/>
    </xf>
    <xf numFmtId="179" fontId="0" fillId="0" borderId="0" xfId="0" applyNumberFormat="1" applyFont="1" applyAlignment="1">
      <alignment vertical="center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19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 wrapText="1"/>
    </xf>
    <xf numFmtId="179" fontId="2" fillId="0" borderId="21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179" fontId="2" fillId="0" borderId="22" xfId="0" applyNumberFormat="1" applyFont="1" applyBorder="1" applyAlignment="1">
      <alignment horizontal="center" vertical="center" wrapText="1"/>
    </xf>
    <xf numFmtId="179" fontId="2" fillId="0" borderId="23" xfId="0" applyNumberFormat="1" applyFont="1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18" xfId="0" applyNumberFormat="1" applyFont="1" applyBorder="1" applyAlignment="1">
      <alignment horizontal="right" vertical="center" wrapText="1"/>
    </xf>
    <xf numFmtId="10" fontId="2" fillId="0" borderId="18" xfId="0" applyNumberFormat="1" applyFont="1" applyBorder="1" applyAlignment="1">
      <alignment horizontal="right" vertical="center" wrapText="1"/>
    </xf>
    <xf numFmtId="179" fontId="2" fillId="0" borderId="15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right" vertical="center" wrapText="1"/>
    </xf>
    <xf numFmtId="179" fontId="2" fillId="0" borderId="14" xfId="0" applyNumberFormat="1" applyFont="1" applyBorder="1" applyAlignment="1">
      <alignment horizontal="right" vertical="center" wrapText="1"/>
    </xf>
    <xf numFmtId="179" fontId="2" fillId="0" borderId="18" xfId="0" applyNumberFormat="1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 wrapText="1"/>
    </xf>
    <xf numFmtId="181" fontId="2" fillId="0" borderId="21" xfId="0" applyNumberFormat="1" applyFont="1" applyBorder="1" applyAlignment="1">
      <alignment horizontal="center" vertical="center" wrapText="1"/>
    </xf>
    <xf numFmtId="181" fontId="2" fillId="0" borderId="22" xfId="0" applyNumberFormat="1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10" xfId="65"/>
    <cellStyle name="常规 11" xfId="66"/>
    <cellStyle name="常规 12" xfId="67"/>
    <cellStyle name="常规 2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6723;\&#24037;&#20316;&#27969;&#31243;&#34920;&#26684;\&#24037;&#31243;&#36896;&#20215;&#23454;&#20363;&#20998;&#26512;\&#24037;&#31243;&#36896;&#20215;&#23454;&#20363;&#20998;&#26512;&#34920;(Llx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351;&#26631;&#30456;&#20851;&#36164;&#26009;2022\2022&#24180;&#32463;&#27982;&#25351;&#26631;&#21672;&#35810;&#20225;&#19994;&#19978;&#25253;\&#27719;&#35802;\&#27719;&#35802;%20%205&#26376;&#32463;&#27982;&#25351;&#26631;\&#24037;&#31243;&#36896;&#20215;&#23454;&#20363;&#20998;&#26512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工程概况"/>
      <sheetName val="工程总造价构成及主要指标"/>
      <sheetName val="建筑工程费用组成分析表"/>
      <sheetName val="安装工程费用组成分析表 "/>
      <sheetName val="分部分项工程量及主要费用增减表"/>
      <sheetName val="措施项目费和其他项目费增减表"/>
      <sheetName val="计日工费用增减表"/>
      <sheetName val="主要材料和设备增减表"/>
    </sheetNames>
    <sheetDataSet>
      <sheetData sheetId="1">
        <row r="6">
          <cell r="G6">
            <v>4267.16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程概况"/>
      <sheetName val="工程总造价构成及主要指标"/>
      <sheetName val="建筑工程费用组成分析表"/>
      <sheetName val="安装工程费用组成分析表"/>
      <sheetName val="分部分项工程量及主要费用增减表"/>
      <sheetName val="措施项目费和其他项目费增减表"/>
      <sheetName val="计日工费用增减表"/>
      <sheetName val="主要材料和设备增减表"/>
    </sheetNames>
    <sheetDataSet>
      <sheetData sheetId="0">
        <row r="6">
          <cell r="G6">
            <v>3862.77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11" sqref="I11"/>
    </sheetView>
  </sheetViews>
  <sheetFormatPr defaultColWidth="9.00390625" defaultRowHeight="14.25"/>
  <cols>
    <col min="1" max="1" width="9.00390625" style="113" customWidth="1"/>
    <col min="2" max="2" width="26.25390625" style="113" customWidth="1"/>
    <col min="3" max="3" width="9.00390625" style="113" customWidth="1"/>
    <col min="4" max="4" width="21.00390625" style="113" customWidth="1"/>
    <col min="5" max="7" width="9.00390625" style="113" customWidth="1"/>
    <col min="8" max="8" width="24.75390625" style="113" customWidth="1"/>
    <col min="9" max="16384" width="9.00390625" style="113" customWidth="1"/>
  </cols>
  <sheetData>
    <row r="1" spans="1:8" ht="14.25">
      <c r="A1" s="14" t="s">
        <v>0</v>
      </c>
      <c r="B1" s="15"/>
      <c r="C1" s="15"/>
      <c r="D1" s="15"/>
      <c r="E1" s="15"/>
      <c r="F1" s="15"/>
      <c r="G1" s="15"/>
      <c r="H1" s="25"/>
    </row>
    <row r="2" spans="1:8" ht="25.5" customHeight="1">
      <c r="A2" s="21" t="s">
        <v>1</v>
      </c>
      <c r="B2" s="17" t="s">
        <v>2</v>
      </c>
      <c r="C2" s="26"/>
      <c r="D2" s="18"/>
      <c r="E2" s="17" t="s">
        <v>3</v>
      </c>
      <c r="F2" s="18"/>
      <c r="G2" s="17" t="s">
        <v>4</v>
      </c>
      <c r="H2" s="18"/>
    </row>
    <row r="3" spans="1:8" ht="25.5" customHeight="1">
      <c r="A3" s="21" t="s">
        <v>5</v>
      </c>
      <c r="B3" s="17" t="s">
        <v>6</v>
      </c>
      <c r="C3" s="18"/>
      <c r="D3" s="22" t="s">
        <v>7</v>
      </c>
      <c r="E3" s="17" t="s">
        <v>8</v>
      </c>
      <c r="F3" s="26"/>
      <c r="G3" s="26"/>
      <c r="H3" s="18"/>
    </row>
    <row r="4" spans="1:8" ht="14.25">
      <c r="A4" s="21" t="s">
        <v>9</v>
      </c>
      <c r="B4" s="17" t="s">
        <v>10</v>
      </c>
      <c r="C4" s="18"/>
      <c r="D4" s="22" t="s">
        <v>11</v>
      </c>
      <c r="E4" s="17" t="s">
        <v>12</v>
      </c>
      <c r="F4" s="26"/>
      <c r="G4" s="26"/>
      <c r="H4" s="18"/>
    </row>
    <row r="5" spans="1:8" ht="14.25">
      <c r="A5" s="21" t="s">
        <v>13</v>
      </c>
      <c r="B5" s="114" t="s">
        <v>14</v>
      </c>
      <c r="C5" s="22" t="s">
        <v>15</v>
      </c>
      <c r="D5" s="115" t="s">
        <v>16</v>
      </c>
      <c r="E5" s="28" t="s">
        <v>17</v>
      </c>
      <c r="F5" s="28">
        <v>480</v>
      </c>
      <c r="G5" s="28" t="s">
        <v>18</v>
      </c>
      <c r="H5" s="28">
        <v>478</v>
      </c>
    </row>
    <row r="6" spans="1:8" ht="14.25">
      <c r="A6" s="21" t="s">
        <v>19</v>
      </c>
      <c r="B6" s="22" t="s">
        <v>20</v>
      </c>
      <c r="C6" s="22" t="s">
        <v>21</v>
      </c>
      <c r="D6" s="28" t="s">
        <v>22</v>
      </c>
      <c r="E6" s="47" t="s">
        <v>23</v>
      </c>
      <c r="F6" s="49"/>
      <c r="G6" s="47">
        <v>26121</v>
      </c>
      <c r="H6" s="49"/>
    </row>
    <row r="7" spans="1:8" ht="14.25">
      <c r="A7" s="21" t="s">
        <v>24</v>
      </c>
      <c r="B7" s="22" t="s">
        <v>25</v>
      </c>
      <c r="C7" s="22" t="s">
        <v>26</v>
      </c>
      <c r="D7" s="22" t="s">
        <v>27</v>
      </c>
      <c r="E7" s="17" t="s">
        <v>28</v>
      </c>
      <c r="F7" s="18"/>
      <c r="G7" s="17">
        <v>21.6</v>
      </c>
      <c r="H7" s="18"/>
    </row>
    <row r="8" spans="1:8" ht="14.25">
      <c r="A8" s="21" t="s">
        <v>29</v>
      </c>
      <c r="B8" s="22" t="s">
        <v>30</v>
      </c>
      <c r="C8" s="22" t="s">
        <v>31</v>
      </c>
      <c r="D8" s="22" t="s">
        <v>32</v>
      </c>
      <c r="E8" s="17" t="s">
        <v>33</v>
      </c>
      <c r="F8" s="18"/>
      <c r="G8" s="17" t="s">
        <v>34</v>
      </c>
      <c r="H8" s="18"/>
    </row>
    <row r="9" spans="1:8" ht="14.25">
      <c r="A9" s="17" t="s">
        <v>35</v>
      </c>
      <c r="B9" s="26"/>
      <c r="C9" s="26"/>
      <c r="D9" s="26"/>
      <c r="E9" s="26"/>
      <c r="F9" s="26"/>
      <c r="G9" s="26"/>
      <c r="H9" s="18"/>
    </row>
    <row r="10" spans="1:8" ht="54.75" customHeight="1">
      <c r="A10" s="21" t="s">
        <v>36</v>
      </c>
      <c r="B10" s="17" t="s">
        <v>37</v>
      </c>
      <c r="C10" s="18"/>
      <c r="D10" s="22" t="s">
        <v>38</v>
      </c>
      <c r="E10" s="17" t="s">
        <v>39</v>
      </c>
      <c r="F10" s="26"/>
      <c r="G10" s="26"/>
      <c r="H10" s="18"/>
    </row>
    <row r="11" spans="1:8" ht="121.5" customHeight="1">
      <c r="A11" s="21" t="s">
        <v>40</v>
      </c>
      <c r="B11" s="17" t="s">
        <v>41</v>
      </c>
      <c r="C11" s="18"/>
      <c r="D11" s="22" t="s">
        <v>42</v>
      </c>
      <c r="E11" s="17" t="s">
        <v>43</v>
      </c>
      <c r="F11" s="26"/>
      <c r="G11" s="26"/>
      <c r="H11" s="18"/>
    </row>
    <row r="12" spans="1:8" ht="54" customHeight="1">
      <c r="A12" s="21" t="s">
        <v>44</v>
      </c>
      <c r="B12" s="17" t="s">
        <v>45</v>
      </c>
      <c r="C12" s="18"/>
      <c r="D12" s="22" t="s">
        <v>46</v>
      </c>
      <c r="E12" s="47" t="s">
        <v>47</v>
      </c>
      <c r="F12" s="48"/>
      <c r="G12" s="48"/>
      <c r="H12" s="49"/>
    </row>
    <row r="13" spans="1:8" ht="51.75" customHeight="1">
      <c r="A13" s="21" t="s">
        <v>48</v>
      </c>
      <c r="B13" s="17" t="s">
        <v>49</v>
      </c>
      <c r="C13" s="18"/>
      <c r="D13" s="22" t="s">
        <v>50</v>
      </c>
      <c r="E13" s="47" t="s">
        <v>51</v>
      </c>
      <c r="F13" s="48"/>
      <c r="G13" s="48"/>
      <c r="H13" s="49"/>
    </row>
    <row r="14" spans="1:8" ht="85.5" customHeight="1">
      <c r="A14" s="21" t="s">
        <v>52</v>
      </c>
      <c r="B14" s="17" t="s">
        <v>53</v>
      </c>
      <c r="C14" s="18"/>
      <c r="D14" s="22" t="s">
        <v>54</v>
      </c>
      <c r="E14" s="47" t="s">
        <v>55</v>
      </c>
      <c r="F14" s="48"/>
      <c r="G14" s="48"/>
      <c r="H14" s="49"/>
    </row>
    <row r="15" spans="1:8" ht="112.5" customHeight="1">
      <c r="A15" s="21" t="s">
        <v>56</v>
      </c>
      <c r="B15" s="17" t="s">
        <v>57</v>
      </c>
      <c r="C15" s="18"/>
      <c r="D15" s="22" t="s">
        <v>58</v>
      </c>
      <c r="E15" s="47" t="s">
        <v>59</v>
      </c>
      <c r="F15" s="48"/>
      <c r="G15" s="48"/>
      <c r="H15" s="49"/>
    </row>
    <row r="16" spans="1:8" ht="42.75" customHeight="1">
      <c r="A16" s="21" t="s">
        <v>60</v>
      </c>
      <c r="B16" s="17" t="s">
        <v>61</v>
      </c>
      <c r="C16" s="18"/>
      <c r="D16" s="22" t="s">
        <v>62</v>
      </c>
      <c r="E16" s="47" t="s">
        <v>63</v>
      </c>
      <c r="F16" s="48"/>
      <c r="G16" s="48"/>
      <c r="H16" s="49"/>
    </row>
    <row r="17" spans="1:8" ht="29.25" customHeight="1">
      <c r="A17" s="21" t="s">
        <v>64</v>
      </c>
      <c r="B17" s="17" t="s">
        <v>65</v>
      </c>
      <c r="C17" s="18"/>
      <c r="D17" s="22"/>
      <c r="E17" s="17"/>
      <c r="F17" s="26"/>
      <c r="G17" s="26"/>
      <c r="H17" s="18"/>
    </row>
  </sheetData>
  <sheetProtection/>
  <mergeCells count="31">
    <mergeCell ref="A1:H1"/>
    <mergeCell ref="B2:D2"/>
    <mergeCell ref="E2:F2"/>
    <mergeCell ref="G2:H2"/>
    <mergeCell ref="B3:C3"/>
    <mergeCell ref="E3:H3"/>
    <mergeCell ref="B4:C4"/>
    <mergeCell ref="E4:H4"/>
    <mergeCell ref="E6:F6"/>
    <mergeCell ref="G6:H6"/>
    <mergeCell ref="E7:F7"/>
    <mergeCell ref="G7:H7"/>
    <mergeCell ref="E8:F8"/>
    <mergeCell ref="G8:H8"/>
    <mergeCell ref="A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:IV65536"/>
    </sheetView>
  </sheetViews>
  <sheetFormatPr defaultColWidth="9.00390625" defaultRowHeight="14.25"/>
  <cols>
    <col min="1" max="4" width="9.00390625" style="93" customWidth="1"/>
    <col min="5" max="5" width="12.75390625" style="93" bestFit="1" customWidth="1"/>
    <col min="6" max="6" width="15.00390625" style="93" customWidth="1"/>
    <col min="7" max="8" width="12.75390625" style="93" bestFit="1" customWidth="1"/>
    <col min="9" max="12" width="9.00390625" style="93" customWidth="1"/>
    <col min="13" max="13" width="15.875" style="93" customWidth="1"/>
    <col min="14" max="14" width="10.375" style="93" bestFit="1" customWidth="1"/>
    <col min="15" max="16384" width="9.00390625" style="93" customWidth="1"/>
  </cols>
  <sheetData>
    <row r="1" spans="1:17" ht="15">
      <c r="A1" s="70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7"/>
    </row>
    <row r="2" spans="1:17" ht="15">
      <c r="A2" s="75" t="s">
        <v>67</v>
      </c>
      <c r="B2" s="77"/>
      <c r="C2" s="72" t="s">
        <v>68</v>
      </c>
      <c r="D2" s="73"/>
      <c r="E2" s="73"/>
      <c r="F2" s="73"/>
      <c r="G2" s="74"/>
      <c r="H2" s="72" t="s">
        <v>69</v>
      </c>
      <c r="I2" s="73"/>
      <c r="J2" s="73"/>
      <c r="K2" s="73"/>
      <c r="L2" s="74"/>
      <c r="M2" s="72" t="s">
        <v>70</v>
      </c>
      <c r="N2" s="73"/>
      <c r="O2" s="74"/>
      <c r="P2" s="75" t="s">
        <v>71</v>
      </c>
      <c r="Q2" s="77"/>
    </row>
    <row r="3" spans="1:17" ht="14.25">
      <c r="A3" s="94"/>
      <c r="B3" s="78"/>
      <c r="C3" s="75" t="s">
        <v>72</v>
      </c>
      <c r="D3" s="77"/>
      <c r="E3" s="79" t="s">
        <v>73</v>
      </c>
      <c r="F3" s="75" t="s">
        <v>74</v>
      </c>
      <c r="G3" s="77"/>
      <c r="H3" s="75" t="s">
        <v>72</v>
      </c>
      <c r="I3" s="77"/>
      <c r="J3" s="79" t="s">
        <v>73</v>
      </c>
      <c r="K3" s="75" t="s">
        <v>74</v>
      </c>
      <c r="L3" s="77"/>
      <c r="M3" s="78" t="s">
        <v>75</v>
      </c>
      <c r="N3" s="78" t="s">
        <v>73</v>
      </c>
      <c r="O3" s="79" t="s">
        <v>76</v>
      </c>
      <c r="P3" s="94"/>
      <c r="Q3" s="78"/>
    </row>
    <row r="4" spans="1:17" ht="15">
      <c r="A4" s="80"/>
      <c r="B4" s="82"/>
      <c r="C4" s="80"/>
      <c r="D4" s="82"/>
      <c r="E4" s="83"/>
      <c r="F4" s="80"/>
      <c r="G4" s="82"/>
      <c r="H4" s="80"/>
      <c r="I4" s="82"/>
      <c r="J4" s="83"/>
      <c r="K4" s="80"/>
      <c r="L4" s="82"/>
      <c r="M4" s="82" t="s">
        <v>77</v>
      </c>
      <c r="N4" s="82" t="s">
        <v>77</v>
      </c>
      <c r="O4" s="83"/>
      <c r="P4" s="80"/>
      <c r="Q4" s="82"/>
    </row>
    <row r="5" spans="1:17" ht="14.25">
      <c r="A5" s="72" t="s">
        <v>72</v>
      </c>
      <c r="B5" s="74"/>
      <c r="C5" s="72">
        <v>68337131.08</v>
      </c>
      <c r="D5" s="74"/>
      <c r="E5" s="82">
        <f>C5/'工程概况'!G6</f>
        <v>2616.175915164044</v>
      </c>
      <c r="F5" s="95">
        <f>C5/C5</f>
        <v>1</v>
      </c>
      <c r="G5" s="96"/>
      <c r="H5" s="97">
        <v>71103133.77</v>
      </c>
      <c r="I5" s="109"/>
      <c r="J5" s="82">
        <f>H5/'工程概况'!G6</f>
        <v>2722.0678293327205</v>
      </c>
      <c r="K5" s="95">
        <f>H5/H5</f>
        <v>1</v>
      </c>
      <c r="L5" s="96"/>
      <c r="M5" s="82">
        <f>H5-C5</f>
        <v>2766002.6899999976</v>
      </c>
      <c r="N5" s="82">
        <f>J5-E5</f>
        <v>105.89191416867652</v>
      </c>
      <c r="O5" s="95">
        <f>M5/C5</f>
        <v>0.040475838629542855</v>
      </c>
      <c r="P5" s="72"/>
      <c r="Q5" s="74"/>
    </row>
    <row r="6" spans="1:17" ht="36.75" customHeight="1">
      <c r="A6" s="79" t="s">
        <v>78</v>
      </c>
      <c r="B6" s="82" t="s">
        <v>79</v>
      </c>
      <c r="C6" s="72">
        <v>58840450.43</v>
      </c>
      <c r="D6" s="74"/>
      <c r="E6" s="82">
        <f>C6/'工程概况'!G6</f>
        <v>2252.6109425366562</v>
      </c>
      <c r="F6" s="98">
        <f>C6/C5</f>
        <v>0.861031909008844</v>
      </c>
      <c r="G6" s="99"/>
      <c r="H6" s="72">
        <v>62498045.21</v>
      </c>
      <c r="I6" s="74"/>
      <c r="J6" s="82">
        <f>H6/'工程概况'!G6</f>
        <v>2392.6360097239767</v>
      </c>
      <c r="K6" s="98">
        <f>H6/H5</f>
        <v>0.8789773656413625</v>
      </c>
      <c r="L6" s="99"/>
      <c r="M6" s="82">
        <f>H6-C6</f>
        <v>3657594.780000001</v>
      </c>
      <c r="N6" s="82">
        <f>J6-E6</f>
        <v>140.02506718732047</v>
      </c>
      <c r="O6" s="95">
        <f>M6/C6</f>
        <v>0.06216123012775518</v>
      </c>
      <c r="P6" s="72" t="s">
        <v>80</v>
      </c>
      <c r="Q6" s="74"/>
    </row>
    <row r="7" spans="1:17" ht="37.5" customHeight="1">
      <c r="A7" s="86"/>
      <c r="B7" s="82" t="s">
        <v>81</v>
      </c>
      <c r="C7" s="17">
        <v>9496680.65</v>
      </c>
      <c r="D7" s="18"/>
      <c r="E7" s="82">
        <f>C7/'工程概况'!G6</f>
        <v>363.56497262738793</v>
      </c>
      <c r="F7" s="98">
        <f>C7/C5</f>
        <v>0.1389680909911561</v>
      </c>
      <c r="G7" s="99"/>
      <c r="H7" s="17">
        <f>H5-H6</f>
        <v>8605088.559999995</v>
      </c>
      <c r="I7" s="18"/>
      <c r="J7" s="82">
        <f>H7/'工程概况'!G6</f>
        <v>329.43181960874375</v>
      </c>
      <c r="K7" s="98">
        <f>H7/H5</f>
        <v>0.12102263435863743</v>
      </c>
      <c r="L7" s="99"/>
      <c r="M7" s="82">
        <f>H7-C7</f>
        <v>-891592.0900000054</v>
      </c>
      <c r="N7" s="82">
        <f>J7-E7</f>
        <v>-34.13315301864418</v>
      </c>
      <c r="O7" s="95">
        <f>M7/C7</f>
        <v>-0.09388460272168944</v>
      </c>
      <c r="P7" s="72" t="s">
        <v>82</v>
      </c>
      <c r="Q7" s="74"/>
    </row>
    <row r="8" spans="1:17" ht="32.25" customHeight="1">
      <c r="A8" s="83"/>
      <c r="B8" s="82" t="s">
        <v>83</v>
      </c>
      <c r="C8" s="72"/>
      <c r="D8" s="74"/>
      <c r="E8" s="82"/>
      <c r="F8" s="98"/>
      <c r="G8" s="99"/>
      <c r="H8" s="72"/>
      <c r="I8" s="74"/>
      <c r="J8" s="82"/>
      <c r="K8" s="98"/>
      <c r="L8" s="99"/>
      <c r="M8" s="82"/>
      <c r="N8" s="82"/>
      <c r="O8" s="95"/>
      <c r="P8" s="72"/>
      <c r="Q8" s="74"/>
    </row>
    <row r="9" spans="1:17" ht="15">
      <c r="A9" s="72" t="s">
        <v>84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ht="39">
      <c r="A10" s="72" t="s">
        <v>85</v>
      </c>
      <c r="B10" s="73"/>
      <c r="C10" s="74"/>
      <c r="D10" s="100">
        <v>2834.28</v>
      </c>
      <c r="E10" s="101"/>
      <c r="F10" s="102"/>
      <c r="G10" s="100" t="s">
        <v>86</v>
      </c>
      <c r="H10" s="102"/>
      <c r="I10" s="100">
        <f>D10*1000/'工程概况'!G6</f>
        <v>108.50579993108992</v>
      </c>
      <c r="J10" s="101"/>
      <c r="K10" s="102"/>
      <c r="L10" s="100" t="s">
        <v>87</v>
      </c>
      <c r="M10" s="102"/>
      <c r="N10" s="100">
        <v>459.59</v>
      </c>
      <c r="O10" s="102"/>
      <c r="P10" s="108" t="s">
        <v>88</v>
      </c>
      <c r="Q10" s="108">
        <f>N10/'工程概况'!G6</f>
        <v>0.017594655641055088</v>
      </c>
    </row>
    <row r="11" spans="1:17" ht="14.25">
      <c r="A11" s="75" t="s">
        <v>89</v>
      </c>
      <c r="B11" s="76"/>
      <c r="C11" s="77"/>
      <c r="D11" s="103">
        <v>352.25</v>
      </c>
      <c r="E11" s="104"/>
      <c r="F11" s="105"/>
      <c r="G11" s="103" t="s">
        <v>90</v>
      </c>
      <c r="H11" s="105"/>
      <c r="I11" s="103">
        <f>D11/'工程概况'!G6</f>
        <v>0.01348531832625091</v>
      </c>
      <c r="J11" s="104"/>
      <c r="K11" s="105"/>
      <c r="L11" s="103" t="s">
        <v>91</v>
      </c>
      <c r="M11" s="105"/>
      <c r="N11" s="103">
        <f>146178.48+20417.96</f>
        <v>166596.44</v>
      </c>
      <c r="O11" s="105"/>
      <c r="P11" s="110" t="s">
        <v>92</v>
      </c>
      <c r="Q11" s="111">
        <f>N11/'工程概况'!G6</f>
        <v>6.377873741434096</v>
      </c>
    </row>
    <row r="12" spans="1:17" ht="15">
      <c r="A12" s="80"/>
      <c r="B12" s="81"/>
      <c r="C12" s="82"/>
      <c r="D12" s="106"/>
      <c r="E12" s="107"/>
      <c r="F12" s="108"/>
      <c r="G12" s="106"/>
      <c r="H12" s="108"/>
      <c r="I12" s="106"/>
      <c r="J12" s="107"/>
      <c r="K12" s="108"/>
      <c r="L12" s="106"/>
      <c r="M12" s="108"/>
      <c r="N12" s="106"/>
      <c r="O12" s="108"/>
      <c r="P12" s="108" t="s">
        <v>93</v>
      </c>
      <c r="Q12" s="112"/>
    </row>
  </sheetData>
  <sheetProtection/>
  <mergeCells count="49">
    <mergeCell ref="A1:Q1"/>
    <mergeCell ref="C2:G2"/>
    <mergeCell ref="H2:L2"/>
    <mergeCell ref="M2:O2"/>
    <mergeCell ref="A5:B5"/>
    <mergeCell ref="C5:D5"/>
    <mergeCell ref="F5:G5"/>
    <mergeCell ref="H5:I5"/>
    <mergeCell ref="K5:L5"/>
    <mergeCell ref="P5:Q5"/>
    <mergeCell ref="C6:D6"/>
    <mergeCell ref="F6:G6"/>
    <mergeCell ref="H6:I6"/>
    <mergeCell ref="K6:L6"/>
    <mergeCell ref="P6:Q6"/>
    <mergeCell ref="C7:D7"/>
    <mergeCell ref="F7:G7"/>
    <mergeCell ref="H7:I7"/>
    <mergeCell ref="K7:L7"/>
    <mergeCell ref="P7:Q7"/>
    <mergeCell ref="C8:D8"/>
    <mergeCell ref="F8:G8"/>
    <mergeCell ref="H8:I8"/>
    <mergeCell ref="K8:L8"/>
    <mergeCell ref="P8:Q8"/>
    <mergeCell ref="A9:Q9"/>
    <mergeCell ref="A10:C10"/>
    <mergeCell ref="D10:F10"/>
    <mergeCell ref="G10:H10"/>
    <mergeCell ref="I10:K10"/>
    <mergeCell ref="L10:M10"/>
    <mergeCell ref="N10:O10"/>
    <mergeCell ref="A6:A8"/>
    <mergeCell ref="E3:E4"/>
    <mergeCell ref="J3:J4"/>
    <mergeCell ref="O3:O4"/>
    <mergeCell ref="Q11:Q12"/>
    <mergeCell ref="A11:C12"/>
    <mergeCell ref="D11:F12"/>
    <mergeCell ref="G11:H12"/>
    <mergeCell ref="I11:K12"/>
    <mergeCell ref="L11:M12"/>
    <mergeCell ref="N11:O12"/>
    <mergeCell ref="A2:B4"/>
    <mergeCell ref="P2:Q4"/>
    <mergeCell ref="C3:D4"/>
    <mergeCell ref="K3:L4"/>
    <mergeCell ref="F3:G4"/>
    <mergeCell ref="H3:I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xSplit="4" ySplit="3" topLeftCell="E6" activePane="bottomRight" state="frozen"/>
      <selection pane="bottomRight" activeCell="A1" sqref="A1:IV65536"/>
    </sheetView>
  </sheetViews>
  <sheetFormatPr defaultColWidth="9.00390625" defaultRowHeight="14.25"/>
  <cols>
    <col min="1" max="1" width="5.00390625" style="69" customWidth="1"/>
    <col min="2" max="2" width="6.50390625" style="69" customWidth="1"/>
    <col min="3" max="3" width="6.875" style="69" customWidth="1"/>
    <col min="4" max="4" width="6.00390625" style="69" customWidth="1"/>
    <col min="5" max="5" width="14.75390625" style="69" customWidth="1"/>
    <col min="6" max="6" width="8.875" style="69" customWidth="1"/>
    <col min="7" max="7" width="10.375" style="69" bestFit="1" customWidth="1"/>
    <col min="8" max="8" width="17.00390625" style="69" customWidth="1"/>
    <col min="9" max="9" width="9.00390625" style="69" customWidth="1"/>
    <col min="10" max="10" width="6.00390625" style="69" customWidth="1"/>
    <col min="11" max="11" width="5.375" style="69" customWidth="1"/>
    <col min="12" max="12" width="14.50390625" style="69" customWidth="1"/>
    <col min="13" max="13" width="8.50390625" style="69" customWidth="1"/>
    <col min="14" max="14" width="17.00390625" style="69" customWidth="1"/>
    <col min="15" max="15" width="15.50390625" style="69" customWidth="1"/>
    <col min="16" max="16384" width="9.00390625" style="69" customWidth="1"/>
  </cols>
  <sheetData>
    <row r="1" spans="1:14" ht="19.5" customHeight="1">
      <c r="A1" s="70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87"/>
    </row>
    <row r="2" spans="1:14" ht="14.25">
      <c r="A2" s="72" t="s">
        <v>95</v>
      </c>
      <c r="B2" s="73"/>
      <c r="C2" s="74"/>
      <c r="D2" s="72" t="s">
        <v>2</v>
      </c>
      <c r="E2" s="73"/>
      <c r="F2" s="73"/>
      <c r="G2" s="73"/>
      <c r="H2" s="74"/>
      <c r="I2" s="72" t="s">
        <v>9</v>
      </c>
      <c r="J2" s="74"/>
      <c r="K2" s="72" t="s">
        <v>10</v>
      </c>
      <c r="L2" s="73"/>
      <c r="M2" s="73"/>
      <c r="N2" s="74"/>
    </row>
    <row r="3" spans="1:14" ht="14.25">
      <c r="A3" s="75" t="s">
        <v>96</v>
      </c>
      <c r="B3" s="76"/>
      <c r="C3" s="76"/>
      <c r="D3" s="77"/>
      <c r="E3" s="78" t="s">
        <v>97</v>
      </c>
      <c r="F3" s="78" t="s">
        <v>98</v>
      </c>
      <c r="G3" s="79" t="s">
        <v>99</v>
      </c>
      <c r="H3" s="78" t="s">
        <v>100</v>
      </c>
      <c r="I3" s="78" t="s">
        <v>101</v>
      </c>
      <c r="J3" s="75" t="s">
        <v>102</v>
      </c>
      <c r="K3" s="77"/>
      <c r="L3" s="72" t="s">
        <v>70</v>
      </c>
      <c r="M3" s="74"/>
      <c r="N3" s="79" t="s">
        <v>71</v>
      </c>
    </row>
    <row r="4" spans="1:14" ht="26.25">
      <c r="A4" s="80"/>
      <c r="B4" s="81"/>
      <c r="C4" s="81"/>
      <c r="D4" s="82"/>
      <c r="E4" s="82" t="s">
        <v>103</v>
      </c>
      <c r="F4" s="82" t="s">
        <v>104</v>
      </c>
      <c r="G4" s="83"/>
      <c r="H4" s="82" t="s">
        <v>103</v>
      </c>
      <c r="I4" s="82" t="s">
        <v>104</v>
      </c>
      <c r="J4" s="80"/>
      <c r="K4" s="82"/>
      <c r="L4" s="82" t="s">
        <v>105</v>
      </c>
      <c r="M4" s="82" t="s">
        <v>76</v>
      </c>
      <c r="N4" s="83"/>
    </row>
    <row r="5" spans="1:14" ht="14.25">
      <c r="A5" s="79" t="s">
        <v>106</v>
      </c>
      <c r="B5" s="82">
        <v>1</v>
      </c>
      <c r="C5" s="72" t="s">
        <v>107</v>
      </c>
      <c r="D5" s="74"/>
      <c r="E5" s="84">
        <v>2126758.34</v>
      </c>
      <c r="F5" s="85">
        <f>E5/E21</f>
        <v>0.036144494549858006</v>
      </c>
      <c r="G5" s="84">
        <f>E5/'工程概况'!G6</f>
        <v>81.41948394012479</v>
      </c>
      <c r="H5" s="84">
        <v>1792112.89</v>
      </c>
      <c r="I5" s="85">
        <f>H5/H21</f>
        <v>0.028674703088411028</v>
      </c>
      <c r="J5" s="88">
        <f>H5/26121</f>
        <v>68.60812717736687</v>
      </c>
      <c r="K5" s="89"/>
      <c r="L5" s="84">
        <f>H5-E5</f>
        <v>-334645.44999999995</v>
      </c>
      <c r="M5" s="85">
        <f>I5-F5</f>
        <v>-0.007469791461446978</v>
      </c>
      <c r="N5" s="90" t="s">
        <v>108</v>
      </c>
    </row>
    <row r="6" spans="1:14" ht="96" customHeight="1">
      <c r="A6" s="86"/>
      <c r="B6" s="82">
        <v>2</v>
      </c>
      <c r="C6" s="72" t="s">
        <v>109</v>
      </c>
      <c r="D6" s="74"/>
      <c r="E6" s="84">
        <v>391700.04</v>
      </c>
      <c r="F6" s="85">
        <f>E6/E21</f>
        <v>0.006656985749005768</v>
      </c>
      <c r="G6" s="84">
        <f>E6/'工程概况'!G6</f>
        <v>14.995598943378889</v>
      </c>
      <c r="H6" s="84">
        <v>484761.3</v>
      </c>
      <c r="I6" s="85">
        <f>H6/H21</f>
        <v>0.007756423394874496</v>
      </c>
      <c r="J6" s="88">
        <f>H6/26121</f>
        <v>18.558297921212816</v>
      </c>
      <c r="K6" s="89"/>
      <c r="L6" s="84">
        <f>H6-E6</f>
        <v>93061.26000000001</v>
      </c>
      <c r="M6" s="85">
        <f>L6/E6</f>
        <v>0.23758297293000025</v>
      </c>
      <c r="N6" s="90" t="s">
        <v>108</v>
      </c>
    </row>
    <row r="7" spans="1:14" ht="57.75" customHeight="1">
      <c r="A7" s="86"/>
      <c r="B7" s="82">
        <v>3</v>
      </c>
      <c r="C7" s="72" t="s">
        <v>110</v>
      </c>
      <c r="D7" s="74"/>
      <c r="E7" s="84">
        <v>24559524.19</v>
      </c>
      <c r="F7" s="85">
        <f>E7/E21</f>
        <v>0.4173918453906526</v>
      </c>
      <c r="G7" s="84">
        <f>E7/'工程概况'!G6</f>
        <v>940.2214383063437</v>
      </c>
      <c r="H7" s="84">
        <f>21948922.36+459113.47+282035.08</f>
        <v>22690070.909999996</v>
      </c>
      <c r="I7" s="85">
        <f>H7/H21</f>
        <v>0.3630524896225941</v>
      </c>
      <c r="J7" s="88">
        <f>H7/26121</f>
        <v>868.652460089583</v>
      </c>
      <c r="K7" s="89"/>
      <c r="L7" s="84">
        <f>H7-E7</f>
        <v>-1869453.280000005</v>
      </c>
      <c r="M7" s="85">
        <f>L7/E7</f>
        <v>-0.07611927924732344</v>
      </c>
      <c r="N7" s="90" t="s">
        <v>111</v>
      </c>
    </row>
    <row r="8" spans="1:14" ht="39">
      <c r="A8" s="86"/>
      <c r="B8" s="82">
        <v>4</v>
      </c>
      <c r="C8" s="72" t="s">
        <v>112</v>
      </c>
      <c r="D8" s="74"/>
      <c r="E8" s="84">
        <v>31762467.86</v>
      </c>
      <c r="F8" s="85">
        <f>E8/E21</f>
        <v>0.5398066742532723</v>
      </c>
      <c r="G8" s="84">
        <f>E8/'工程概况'!G6</f>
        <v>1215.974421346809</v>
      </c>
      <c r="H8" s="84">
        <f>24910036.79+1126841.25+1982845.9+2577340.08+247932.16+571471.63+698828.45+5415803.85</f>
        <v>37531100.10999999</v>
      </c>
      <c r="I8" s="85">
        <f>H8/H21</f>
        <v>0.6005163838957044</v>
      </c>
      <c r="J8" s="88">
        <f>H8/26121</f>
        <v>1436.8171245358137</v>
      </c>
      <c r="K8" s="89"/>
      <c r="L8" s="84">
        <f>H8-E8</f>
        <v>5768632.249999993</v>
      </c>
      <c r="M8" s="85">
        <f>L8/E8</f>
        <v>0.18161788546867633</v>
      </c>
      <c r="N8" s="90" t="s">
        <v>80</v>
      </c>
    </row>
    <row r="9" spans="1:14" ht="35.25" customHeight="1">
      <c r="A9" s="86"/>
      <c r="B9" s="82" t="s">
        <v>113</v>
      </c>
      <c r="C9" s="72" t="s">
        <v>114</v>
      </c>
      <c r="D9" s="74"/>
      <c r="E9" s="84">
        <v>38274200.1</v>
      </c>
      <c r="F9" s="85">
        <f>E9/E21</f>
        <v>0.6504742879788706</v>
      </c>
      <c r="G9" s="84">
        <f>E9/26121</f>
        <v>1465.265499023774</v>
      </c>
      <c r="H9" s="84">
        <f>49245383.58-194377.28</f>
        <v>49051006.3</v>
      </c>
      <c r="I9" s="85">
        <f>H9/H21</f>
        <v>0.7848406479796475</v>
      </c>
      <c r="J9" s="88">
        <f>H9/26121</f>
        <v>1877.8379962482293</v>
      </c>
      <c r="K9" s="89"/>
      <c r="L9" s="84">
        <f aca="true" t="shared" si="0" ref="L9:L21">H9-E9</f>
        <v>10776806.199999996</v>
      </c>
      <c r="M9" s="85">
        <f>L9/E9</f>
        <v>0.28156842394728443</v>
      </c>
      <c r="N9" s="79" t="s">
        <v>80</v>
      </c>
    </row>
    <row r="10" spans="1:14" ht="33.75" customHeight="1">
      <c r="A10" s="86"/>
      <c r="B10" s="79" t="s">
        <v>78</v>
      </c>
      <c r="C10" s="72" t="s">
        <v>115</v>
      </c>
      <c r="D10" s="74"/>
      <c r="E10" s="84">
        <f>348461.84+128625.75+2421142.84+4976608.8</f>
        <v>7874839.2299999995</v>
      </c>
      <c r="F10" s="85">
        <f>E10/E21</f>
        <v>0.1338337686404667</v>
      </c>
      <c r="G10" s="84">
        <f>E10/'[1]工程概况'!G6</f>
        <v>1845.4520641363342</v>
      </c>
      <c r="H10" s="84">
        <f>364144.77+176746.69+2304321.62+4209079.52+320104.14+19284.71+356979.3+55993.7+952.11+15678.35+35750.03+79752.1+69073.24+22063.95+222147.32</f>
        <v>8252071.55</v>
      </c>
      <c r="I10" s="85">
        <f>H10/H21</f>
        <v>0.13203727448250974</v>
      </c>
      <c r="J10" s="88">
        <f aca="true" t="shared" si="1" ref="J10:J21">H10/26121</f>
        <v>315.9171375521611</v>
      </c>
      <c r="K10" s="89"/>
      <c r="L10" s="84">
        <f t="shared" si="0"/>
        <v>377232.3200000003</v>
      </c>
      <c r="M10" s="85">
        <f aca="true" t="shared" si="2" ref="M10:M19">L10/E10</f>
        <v>0.04790349478664853</v>
      </c>
      <c r="N10" s="86"/>
    </row>
    <row r="11" spans="1:14" ht="29.25" customHeight="1">
      <c r="A11" s="86"/>
      <c r="B11" s="86"/>
      <c r="C11" s="72" t="s">
        <v>116</v>
      </c>
      <c r="D11" s="74"/>
      <c r="E11" s="84">
        <f>2302.9+87362.72+12920148.88+14310077.96</f>
        <v>27319892.46</v>
      </c>
      <c r="F11" s="85">
        <f>E11/E21</f>
        <v>0.4643046111779568</v>
      </c>
      <c r="G11" s="84">
        <f>E11/'[1]工程概况'!G6</f>
        <v>6402.359522492712</v>
      </c>
      <c r="H11" s="84">
        <f>2158.22+121600.48+12939085.9+12828515.27+1126841.25+1246952.73+54462.96+2296032.25+224.52+229.22+26890.87+61089.49+239448.39+171329.29+456374.07+348507.25+5330335.93</f>
        <v>37250078.089999996</v>
      </c>
      <c r="I11" s="85">
        <f>H11/H21</f>
        <v>0.5960198909405059</v>
      </c>
      <c r="J11" s="88">
        <f t="shared" si="1"/>
        <v>1426.0586535737527</v>
      </c>
      <c r="K11" s="89"/>
      <c r="L11" s="84">
        <f t="shared" si="0"/>
        <v>9930185.629999995</v>
      </c>
      <c r="M11" s="85">
        <f t="shared" si="2"/>
        <v>0.36347821077770065</v>
      </c>
      <c r="N11" s="86"/>
    </row>
    <row r="12" spans="1:14" ht="31.5" customHeight="1">
      <c r="A12" s="86"/>
      <c r="B12" s="86"/>
      <c r="C12" s="72" t="s">
        <v>117</v>
      </c>
      <c r="D12" s="74"/>
      <c r="E12" s="84">
        <f>1225517.05+75092.71+369335.27+275141.42</f>
        <v>1945086.45</v>
      </c>
      <c r="F12" s="85">
        <f>E12/E21</f>
        <v>0.03305696057175338</v>
      </c>
      <c r="G12" s="84">
        <f>E12/'[1]工程概况'!G6</f>
        <v>455.8269317297688</v>
      </c>
      <c r="H12" s="84">
        <f>1113969.64+102357.28+333147.8+250266.48+14987.61+61012.11+99677.63+9181.57+335.21+5686.58+4391.82+5371.38+1319.78+17286.19</f>
        <v>2018991.0800000003</v>
      </c>
      <c r="I12" s="85">
        <f>H12/H21</f>
        <v>0.032304867667767474</v>
      </c>
      <c r="J12" s="88">
        <f t="shared" si="1"/>
        <v>77.29378967114583</v>
      </c>
      <c r="K12" s="89"/>
      <c r="L12" s="84">
        <f t="shared" si="0"/>
        <v>73904.63000000035</v>
      </c>
      <c r="M12" s="85">
        <f t="shared" si="2"/>
        <v>0.03799555027489927</v>
      </c>
      <c r="N12" s="86"/>
    </row>
    <row r="13" spans="1:14" ht="30" customHeight="1">
      <c r="A13" s="86"/>
      <c r="B13" s="86"/>
      <c r="C13" s="72" t="s">
        <v>118</v>
      </c>
      <c r="D13" s="74"/>
      <c r="E13" s="84">
        <f>62471.93+12240.83+280213.4+420623.84</f>
        <v>775550</v>
      </c>
      <c r="F13" s="85">
        <f>E13/E21</f>
        <v>0.013180558515238914</v>
      </c>
      <c r="G13" s="84">
        <f>E13/'[1]工程概况'!G6</f>
        <v>181.74851657777072</v>
      </c>
      <c r="H13" s="84">
        <f>58707.52+16770.31+264869.11+357157.69+144099.8+7726.34+83578.62+10874.19+810.69+1281.17+12015.93+8473.98+21574.49+1869.6+69552.53</f>
        <v>1059361.9699999997</v>
      </c>
      <c r="I13" s="85">
        <f>H13/H21</f>
        <v>0.016950321669135578</v>
      </c>
      <c r="J13" s="88">
        <f t="shared" si="1"/>
        <v>40.555950001914155</v>
      </c>
      <c r="K13" s="89"/>
      <c r="L13" s="84">
        <f t="shared" si="0"/>
        <v>283811.96999999974</v>
      </c>
      <c r="M13" s="85">
        <f t="shared" si="2"/>
        <v>0.3659492876023464</v>
      </c>
      <c r="N13" s="86"/>
    </row>
    <row r="14" spans="1:14" ht="29.25" customHeight="1">
      <c r="A14" s="86"/>
      <c r="B14" s="83"/>
      <c r="C14" s="72" t="s">
        <v>119</v>
      </c>
      <c r="D14" s="74"/>
      <c r="E14" s="84">
        <f>31213.2+6115.99+111552.08+209950.74</f>
        <v>358832.01</v>
      </c>
      <c r="F14" s="85">
        <f>E14/E21</f>
        <v>0.006098389923210361</v>
      </c>
      <c r="G14" s="84">
        <f>E14/'[1]工程概况'!G6</f>
        <v>84.09152926067924</v>
      </c>
      <c r="H14" s="84">
        <f>29329.33+8378.52+105406.9+178460.56+50259.97+2693.8+41781.88+6218.5+405.36+639.85+4974.69+3373.21+8940.41+937.29+28703.39</f>
        <v>470503.66</v>
      </c>
      <c r="I14" s="85">
        <f>H14/H21</f>
        <v>0.007528294019753795</v>
      </c>
      <c r="J14" s="88">
        <f t="shared" si="1"/>
        <v>18.012467363424065</v>
      </c>
      <c r="K14" s="89"/>
      <c r="L14" s="84">
        <f t="shared" si="0"/>
        <v>111671.64999999997</v>
      </c>
      <c r="M14" s="85">
        <f t="shared" si="2"/>
        <v>0.3112087185309916</v>
      </c>
      <c r="N14" s="83"/>
    </row>
    <row r="15" spans="1:14" ht="14.25">
      <c r="A15" s="86"/>
      <c r="B15" s="82" t="s">
        <v>120</v>
      </c>
      <c r="C15" s="72" t="s">
        <v>121</v>
      </c>
      <c r="D15" s="74"/>
      <c r="E15" s="84">
        <v>9245376.23</v>
      </c>
      <c r="F15" s="85">
        <f>E15/E21</f>
        <v>0.1571261974017329</v>
      </c>
      <c r="G15" s="84">
        <f>E15/26121</f>
        <v>353.9441916465679</v>
      </c>
      <c r="H15" s="84">
        <f>9200770.54-4956.62</f>
        <v>9195813.92</v>
      </c>
      <c r="I15" s="85">
        <f>H15/H21</f>
        <v>0.147137624690751</v>
      </c>
      <c r="J15" s="88">
        <f t="shared" si="1"/>
        <v>352.04677921978487</v>
      </c>
      <c r="K15" s="89"/>
      <c r="L15" s="84">
        <f t="shared" si="0"/>
        <v>-49562.31000000052</v>
      </c>
      <c r="M15" s="85">
        <f t="shared" si="2"/>
        <v>-0.005360767238349641</v>
      </c>
      <c r="N15" s="90" t="s">
        <v>122</v>
      </c>
    </row>
    <row r="16" spans="1:14" ht="14.25">
      <c r="A16" s="86"/>
      <c r="B16" s="82" t="s">
        <v>123</v>
      </c>
      <c r="C16" s="72" t="s">
        <v>124</v>
      </c>
      <c r="D16" s="74"/>
      <c r="E16" s="84">
        <v>5100436.11</v>
      </c>
      <c r="F16" s="85">
        <f>E16/E21</f>
        <v>0.0866824790163014</v>
      </c>
      <c r="G16" s="84">
        <f>E16/26121</f>
        <v>195.2619007694958</v>
      </c>
      <c r="H16" s="84">
        <v>65964.57</v>
      </c>
      <c r="I16" s="85">
        <f>H16/H21</f>
        <v>0.0010554661314358972</v>
      </c>
      <c r="J16" s="88">
        <f t="shared" si="1"/>
        <v>2.525346273113587</v>
      </c>
      <c r="K16" s="89"/>
      <c r="L16" s="84">
        <f t="shared" si="0"/>
        <v>-5034471.54</v>
      </c>
      <c r="M16" s="85">
        <f t="shared" si="2"/>
        <v>-0.987066876522447</v>
      </c>
      <c r="N16" s="90" t="s">
        <v>122</v>
      </c>
    </row>
    <row r="17" spans="1:14" ht="14.25">
      <c r="A17" s="86"/>
      <c r="B17" s="82" t="s">
        <v>125</v>
      </c>
      <c r="C17" s="72" t="s">
        <v>126</v>
      </c>
      <c r="D17" s="74"/>
      <c r="E17" s="84">
        <v>1966459.7</v>
      </c>
      <c r="F17" s="85">
        <f>E17/E21</f>
        <v>0.03342020133287236</v>
      </c>
      <c r="G17" s="84">
        <f>E17/26121</f>
        <v>75.28271122851345</v>
      </c>
      <c r="H17" s="84">
        <f>1914751.94-3069.74</f>
        <v>1911682.2</v>
      </c>
      <c r="I17" s="85">
        <f>H17/H21</f>
        <v>0.030587871885905796</v>
      </c>
      <c r="J17" s="88">
        <f t="shared" si="1"/>
        <v>73.18564373492592</v>
      </c>
      <c r="K17" s="89"/>
      <c r="L17" s="84">
        <f t="shared" si="0"/>
        <v>-54777.5</v>
      </c>
      <c r="M17" s="85">
        <f t="shared" si="2"/>
        <v>-0.027855897580814904</v>
      </c>
      <c r="N17" s="90" t="s">
        <v>122</v>
      </c>
    </row>
    <row r="18" spans="1:14" ht="14.25">
      <c r="A18" s="86"/>
      <c r="B18" s="82" t="s">
        <v>127</v>
      </c>
      <c r="C18" s="72" t="s">
        <v>128</v>
      </c>
      <c r="D18" s="74"/>
      <c r="E18" s="84">
        <v>5831035.63</v>
      </c>
      <c r="F18" s="85">
        <f>E18/E21</f>
        <v>0.09909909912405132</v>
      </c>
      <c r="G18" s="84">
        <f>E18/26121</f>
        <v>223.23171509513418</v>
      </c>
      <c r="H18" s="84">
        <f>4654921.82-18216.33+584387.17</f>
        <v>5221092.66</v>
      </c>
      <c r="I18" s="85">
        <f>H18/H21</f>
        <v>0.08354009541362216</v>
      </c>
      <c r="J18" s="88">
        <f t="shared" si="1"/>
        <v>199.88104054209256</v>
      </c>
      <c r="K18" s="89"/>
      <c r="L18" s="84">
        <f t="shared" si="0"/>
        <v>-609942.9699999997</v>
      </c>
      <c r="M18" s="85">
        <f t="shared" si="2"/>
        <v>-0.10460285422745731</v>
      </c>
      <c r="N18" s="90" t="s">
        <v>122</v>
      </c>
    </row>
    <row r="19" spans="1:14" ht="14.25">
      <c r="A19" s="86"/>
      <c r="B19" s="82" t="s">
        <v>129</v>
      </c>
      <c r="C19" s="72" t="s">
        <v>130</v>
      </c>
      <c r="D19" s="74"/>
      <c r="E19" s="84">
        <f>-1592827.91/1.01</f>
        <v>-1577057.3366336632</v>
      </c>
      <c r="F19" s="85">
        <f>E19/E21</f>
        <v>-0.026802264853828677</v>
      </c>
      <c r="G19" s="84">
        <f>E19/'工程概况'!G6</f>
        <v>-60.37507509795426</v>
      </c>
      <c r="H19" s="84">
        <f>-2184500.71/1.01</f>
        <v>-2162871.99009901</v>
      </c>
      <c r="I19" s="85">
        <f>H19/H21</f>
        <v>-0.03460703423339017</v>
      </c>
      <c r="J19" s="88">
        <f t="shared" si="1"/>
        <v>-82.80203629642854</v>
      </c>
      <c r="K19" s="89"/>
      <c r="L19" s="84">
        <f t="shared" si="0"/>
        <v>-585814.6534653469</v>
      </c>
      <c r="M19" s="85">
        <f t="shared" si="2"/>
        <v>0.37146059300279366</v>
      </c>
      <c r="N19" s="90" t="s">
        <v>122</v>
      </c>
    </row>
    <row r="20" spans="1:14" ht="14.25">
      <c r="A20" s="86"/>
      <c r="B20" s="82" t="s">
        <v>131</v>
      </c>
      <c r="C20" s="72" t="s">
        <v>132</v>
      </c>
      <c r="D20" s="74"/>
      <c r="E20" s="84">
        <v>0</v>
      </c>
      <c r="F20" s="85"/>
      <c r="G20" s="84"/>
      <c r="H20" s="84">
        <f>-181564.37-10056.28-391207.24-27662.96-21330.98-43941.66-108878.96</f>
        <v>-784642.45</v>
      </c>
      <c r="I20" s="85">
        <f>H20/H21</f>
        <v>-0.01255467186797222</v>
      </c>
      <c r="J20" s="88">
        <f t="shared" si="1"/>
        <v>-30.038760001531333</v>
      </c>
      <c r="K20" s="89"/>
      <c r="L20" s="84">
        <f t="shared" si="0"/>
        <v>-784642.45</v>
      </c>
      <c r="M20" s="85">
        <v>0</v>
      </c>
      <c r="N20" s="90" t="s">
        <v>122</v>
      </c>
    </row>
    <row r="21" spans="1:14" ht="14.25">
      <c r="A21" s="83"/>
      <c r="B21" s="82"/>
      <c r="C21" s="72" t="s">
        <v>133</v>
      </c>
      <c r="D21" s="74"/>
      <c r="E21" s="84">
        <f>E9+E15+E16+E17+E18+E19</f>
        <v>58840450.43336634</v>
      </c>
      <c r="F21" s="85">
        <f>E21/E21</f>
        <v>1</v>
      </c>
      <c r="G21" s="84">
        <f>E21/26121</f>
        <v>2252.610942665531</v>
      </c>
      <c r="H21" s="84">
        <f>H9+H15+H16+H17+H18+H19+H20</f>
        <v>62498045.20990099</v>
      </c>
      <c r="I21" s="85">
        <f>H21/H21</f>
        <v>1</v>
      </c>
      <c r="J21" s="88">
        <f t="shared" si="1"/>
        <v>2392.6360097201864</v>
      </c>
      <c r="K21" s="89"/>
      <c r="L21" s="84">
        <f t="shared" si="0"/>
        <v>3657594.7765346467</v>
      </c>
      <c r="M21" s="85">
        <f>L21/E21</f>
        <v>0.062161230065304766</v>
      </c>
      <c r="N21" s="90"/>
    </row>
    <row r="24" spans="15:17" ht="14.25">
      <c r="O24" s="91"/>
      <c r="P24" s="91"/>
      <c r="Q24" s="91"/>
    </row>
    <row r="25" spans="15:17" ht="14.25">
      <c r="O25" s="91"/>
      <c r="P25" s="92"/>
      <c r="Q25" s="91"/>
    </row>
    <row r="26" spans="15:17" ht="14.25">
      <c r="O26" s="91"/>
      <c r="P26" s="92"/>
      <c r="Q26" s="91"/>
    </row>
    <row r="27" spans="15:17" ht="14.25">
      <c r="O27" s="91"/>
      <c r="P27" s="92"/>
      <c r="Q27" s="91"/>
    </row>
    <row r="28" spans="15:17" ht="14.25">
      <c r="O28" s="91"/>
      <c r="P28" s="91"/>
      <c r="Q28" s="91"/>
    </row>
  </sheetData>
  <sheetProtection/>
  <mergeCells count="47">
    <mergeCell ref="A1:N1"/>
    <mergeCell ref="A2:C2"/>
    <mergeCell ref="D2:H2"/>
    <mergeCell ref="I2:J2"/>
    <mergeCell ref="K2:N2"/>
    <mergeCell ref="L3:M3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A5:A21"/>
    <mergeCell ref="B10:B14"/>
    <mergeCell ref="G3:G4"/>
    <mergeCell ref="N3:N4"/>
    <mergeCell ref="N9:N14"/>
    <mergeCell ref="A3:D4"/>
    <mergeCell ref="J3:K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IV65536"/>
    </sheetView>
  </sheetViews>
  <sheetFormatPr defaultColWidth="9.00390625" defaultRowHeight="14.25"/>
  <cols>
    <col min="1" max="4" width="9.00390625" style="32" customWidth="1"/>
    <col min="5" max="5" width="11.50390625" style="32" bestFit="1" customWidth="1"/>
    <col min="6" max="9" width="12.75390625" style="32" bestFit="1" customWidth="1"/>
    <col min="10" max="10" width="9.00390625" style="44" customWidth="1"/>
    <col min="11" max="11" width="5.00390625" style="44" customWidth="1"/>
    <col min="12" max="12" width="11.50390625" style="32" bestFit="1" customWidth="1"/>
    <col min="13" max="13" width="9.125" style="32" bestFit="1" customWidth="1"/>
    <col min="14" max="14" width="13.875" style="32" customWidth="1"/>
    <col min="15" max="16384" width="9.00390625" style="32" customWidth="1"/>
  </cols>
  <sheetData>
    <row r="1" spans="1:14" ht="15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4"/>
    </row>
    <row r="2" spans="1:14" ht="15">
      <c r="A2" s="47" t="s">
        <v>95</v>
      </c>
      <c r="B2" s="48"/>
      <c r="C2" s="49"/>
      <c r="D2" s="47"/>
      <c r="E2" s="48"/>
      <c r="F2" s="48"/>
      <c r="G2" s="48"/>
      <c r="H2" s="49"/>
      <c r="I2" s="47" t="s">
        <v>9</v>
      </c>
      <c r="J2" s="49"/>
      <c r="K2" s="47"/>
      <c r="L2" s="48"/>
      <c r="M2" s="48"/>
      <c r="N2" s="49"/>
    </row>
    <row r="3" spans="1:14" ht="15">
      <c r="A3" s="50" t="s">
        <v>96</v>
      </c>
      <c r="B3" s="51"/>
      <c r="C3" s="51"/>
      <c r="D3" s="52"/>
      <c r="E3" s="53" t="s">
        <v>97</v>
      </c>
      <c r="F3" s="53" t="s">
        <v>98</v>
      </c>
      <c r="G3" s="54" t="s">
        <v>99</v>
      </c>
      <c r="H3" s="53" t="s">
        <v>100</v>
      </c>
      <c r="I3" s="53" t="s">
        <v>101</v>
      </c>
      <c r="J3" s="50" t="s">
        <v>102</v>
      </c>
      <c r="K3" s="52"/>
      <c r="L3" s="47" t="s">
        <v>70</v>
      </c>
      <c r="M3" s="49"/>
      <c r="N3" s="54" t="s">
        <v>71</v>
      </c>
    </row>
    <row r="4" spans="1:14" ht="39">
      <c r="A4" s="55"/>
      <c r="B4" s="56"/>
      <c r="C4" s="56"/>
      <c r="D4" s="28"/>
      <c r="E4" s="28" t="s">
        <v>103</v>
      </c>
      <c r="F4" s="28" t="s">
        <v>104</v>
      </c>
      <c r="G4" s="57"/>
      <c r="H4" s="28" t="s">
        <v>103</v>
      </c>
      <c r="I4" s="28" t="s">
        <v>104</v>
      </c>
      <c r="J4" s="55"/>
      <c r="K4" s="28"/>
      <c r="L4" s="28" t="s">
        <v>105</v>
      </c>
      <c r="M4" s="28" t="s">
        <v>76</v>
      </c>
      <c r="N4" s="57"/>
    </row>
    <row r="5" spans="1:14" ht="14.25">
      <c r="A5" s="54" t="s">
        <v>81</v>
      </c>
      <c r="B5" s="28">
        <v>1</v>
      </c>
      <c r="C5" s="47" t="s">
        <v>135</v>
      </c>
      <c r="D5" s="49"/>
      <c r="E5" s="58">
        <v>3077771.93</v>
      </c>
      <c r="F5" s="59">
        <f>E5/E22</f>
        <v>0.3240892311146632</v>
      </c>
      <c r="G5" s="60">
        <f>E5/'工程概况'!G6</f>
        <v>117.82749243903373</v>
      </c>
      <c r="H5" s="61">
        <v>2601023.79</v>
      </c>
      <c r="I5" s="59">
        <f>H5/H22</f>
        <v>0.3022657781920608</v>
      </c>
      <c r="J5" s="65">
        <f>H5/'工程概况'!G6</f>
        <v>99.57596531526359</v>
      </c>
      <c r="K5" s="66"/>
      <c r="L5" s="67">
        <f>H5-E5</f>
        <v>-476748.14000000013</v>
      </c>
      <c r="M5" s="68">
        <f>F5-I5</f>
        <v>0.021823452922602404</v>
      </c>
      <c r="N5" s="28" t="s">
        <v>136</v>
      </c>
    </row>
    <row r="6" spans="1:14" ht="14.25">
      <c r="A6" s="62"/>
      <c r="B6" s="28">
        <v>2</v>
      </c>
      <c r="C6" s="47" t="s">
        <v>137</v>
      </c>
      <c r="D6" s="49"/>
      <c r="E6" s="58">
        <v>1433721.83</v>
      </c>
      <c r="F6" s="59">
        <f>E6/E22</f>
        <v>0.15097083737358274</v>
      </c>
      <c r="G6" s="60">
        <f>E6/'工程概况'!G6</f>
        <v>54.88770835726044</v>
      </c>
      <c r="H6" s="61">
        <v>1068923.4</v>
      </c>
      <c r="I6" s="59">
        <f>H6/H22</f>
        <v>0.12421991854549837</v>
      </c>
      <c r="J6" s="65">
        <f>H6/'工程概况'!G6</f>
        <v>40.92199379809348</v>
      </c>
      <c r="K6" s="66"/>
      <c r="L6" s="67">
        <f aca="true" t="shared" si="0" ref="L6:L11">H6-E6</f>
        <v>-364798.43000000017</v>
      </c>
      <c r="M6" s="68">
        <f aca="true" t="shared" si="1" ref="M6:M11">F6-I6</f>
        <v>0.026750918828084377</v>
      </c>
      <c r="N6" s="28" t="s">
        <v>136</v>
      </c>
    </row>
    <row r="7" spans="1:14" ht="14.25">
      <c r="A7" s="62"/>
      <c r="B7" s="28">
        <v>3</v>
      </c>
      <c r="C7" s="47" t="s">
        <v>138</v>
      </c>
      <c r="D7" s="49"/>
      <c r="E7" s="58">
        <v>647424.42</v>
      </c>
      <c r="F7" s="59">
        <f>E7/E22</f>
        <v>0.06817375921764833</v>
      </c>
      <c r="G7" s="60">
        <f>E7/'工程概况'!G6</f>
        <v>24.78559090387045</v>
      </c>
      <c r="H7" s="61">
        <v>459856.94</v>
      </c>
      <c r="I7" s="59">
        <f>H7/H22</f>
        <v>0.05344011706487306</v>
      </c>
      <c r="J7" s="65">
        <f>H7/'工程概况'!G6</f>
        <v>17.604875004785423</v>
      </c>
      <c r="K7" s="66"/>
      <c r="L7" s="67">
        <f t="shared" si="0"/>
        <v>-187567.48000000004</v>
      </c>
      <c r="M7" s="68">
        <f t="shared" si="1"/>
        <v>0.01473364215277527</v>
      </c>
      <c r="N7" s="28" t="s">
        <v>136</v>
      </c>
    </row>
    <row r="8" spans="1:14" ht="14.25">
      <c r="A8" s="62"/>
      <c r="B8" s="28">
        <v>4</v>
      </c>
      <c r="C8" s="47" t="s">
        <v>139</v>
      </c>
      <c r="D8" s="49"/>
      <c r="E8" s="28">
        <v>992209.31</v>
      </c>
      <c r="F8" s="59">
        <f>E8/E22</f>
        <v>0.10447959098213964</v>
      </c>
      <c r="G8" s="60">
        <f>E8/'工程概况'!G6</f>
        <v>37.98511963554228</v>
      </c>
      <c r="H8" s="61">
        <v>801238.86</v>
      </c>
      <c r="I8" s="59">
        <f>H8/H22</f>
        <v>0.09311221545406151</v>
      </c>
      <c r="J8" s="65">
        <f>H8/'工程概况'!G6</f>
        <v>30.674126564832893</v>
      </c>
      <c r="K8" s="66"/>
      <c r="L8" s="67">
        <f t="shared" si="0"/>
        <v>-190970.45000000007</v>
      </c>
      <c r="M8" s="68">
        <f t="shared" si="1"/>
        <v>0.011367375528078136</v>
      </c>
      <c r="N8" s="28" t="s">
        <v>136</v>
      </c>
    </row>
    <row r="9" spans="1:14" ht="14.25">
      <c r="A9" s="62"/>
      <c r="B9" s="28">
        <v>5</v>
      </c>
      <c r="C9" s="47" t="s">
        <v>140</v>
      </c>
      <c r="D9" s="49"/>
      <c r="E9" s="28">
        <v>2620816.53</v>
      </c>
      <c r="F9" s="59">
        <f>E9/E22</f>
        <v>0.27597185022747917</v>
      </c>
      <c r="G9" s="60">
        <f>E9/'工程概况'!G6</f>
        <v>100.33369817388308</v>
      </c>
      <c r="H9" s="61">
        <v>1994780.66</v>
      </c>
      <c r="I9" s="59">
        <f>H9/H22</f>
        <v>0.23181407676297056</v>
      </c>
      <c r="J9" s="65">
        <f>H9/'工程概况'!G6</f>
        <v>76.36693311894643</v>
      </c>
      <c r="K9" s="66"/>
      <c r="L9" s="67">
        <f t="shared" si="0"/>
        <v>-626035.8699999999</v>
      </c>
      <c r="M9" s="68">
        <f t="shared" si="1"/>
        <v>0.04415777346450861</v>
      </c>
      <c r="N9" s="28" t="s">
        <v>136</v>
      </c>
    </row>
    <row r="10" spans="1:14" ht="14.25">
      <c r="A10" s="62"/>
      <c r="B10" s="28">
        <v>6</v>
      </c>
      <c r="C10" s="47" t="s">
        <v>141</v>
      </c>
      <c r="D10" s="49"/>
      <c r="E10" s="28">
        <v>724736.63</v>
      </c>
      <c r="F10" s="59">
        <f>E10/E22</f>
        <v>0.07631473108448687</v>
      </c>
      <c r="G10" s="60">
        <f>E10/'工程概况'!G6</f>
        <v>27.74536311779794</v>
      </c>
      <c r="H10" s="61">
        <v>644712.33</v>
      </c>
      <c r="I10" s="59">
        <f>H10/H22</f>
        <v>0.0749222190457038</v>
      </c>
      <c r="J10" s="65">
        <f>H10/'工程概况'!G6</f>
        <v>24.681762949351096</v>
      </c>
      <c r="K10" s="66"/>
      <c r="L10" s="67">
        <f t="shared" si="0"/>
        <v>-80024.30000000005</v>
      </c>
      <c r="M10" s="68">
        <f t="shared" si="1"/>
        <v>0.0013925120387830725</v>
      </c>
      <c r="N10" s="28" t="s">
        <v>136</v>
      </c>
    </row>
    <row r="11" spans="1:14" ht="14.25">
      <c r="A11" s="62"/>
      <c r="B11" s="28">
        <v>7</v>
      </c>
      <c r="C11" s="47" t="s">
        <v>83</v>
      </c>
      <c r="D11" s="49"/>
      <c r="E11" s="28"/>
      <c r="F11" s="59"/>
      <c r="G11" s="60"/>
      <c r="H11" s="61">
        <f>569843.51+464709.07</f>
        <v>1034552.5800000001</v>
      </c>
      <c r="I11" s="59">
        <f>H11/H22</f>
        <v>0.12022567493483181</v>
      </c>
      <c r="J11" s="65">
        <f>H11/'工程概况'!G6</f>
        <v>39.606162857471006</v>
      </c>
      <c r="K11" s="66"/>
      <c r="L11" s="67">
        <f t="shared" si="0"/>
        <v>1034552.5800000001</v>
      </c>
      <c r="M11" s="68">
        <f t="shared" si="1"/>
        <v>-0.12022567493483181</v>
      </c>
      <c r="N11" s="28" t="s">
        <v>142</v>
      </c>
    </row>
    <row r="12" spans="1:14" ht="14.25">
      <c r="A12" s="62"/>
      <c r="B12" s="28" t="s">
        <v>113</v>
      </c>
      <c r="C12" s="47" t="s">
        <v>114</v>
      </c>
      <c r="D12" s="49"/>
      <c r="E12" s="28">
        <v>7384869.34</v>
      </c>
      <c r="F12" s="59">
        <f>E12/E22</f>
        <v>0.7776263741163076</v>
      </c>
      <c r="G12" s="60">
        <f>E12/'工程概况'!G6</f>
        <v>282.7177114199303</v>
      </c>
      <c r="H12" s="61">
        <v>7444081.89</v>
      </c>
      <c r="I12" s="59">
        <f>H12/H22</f>
        <v>0.8650790561997422</v>
      </c>
      <c r="J12" s="65">
        <f>H12/'工程概况'!G6</f>
        <v>284.984567589296</v>
      </c>
      <c r="K12" s="66"/>
      <c r="L12" s="67">
        <f aca="true" t="shared" si="2" ref="L12:L22">H12-E12</f>
        <v>59212.549999999814</v>
      </c>
      <c r="M12" s="68">
        <f aca="true" t="shared" si="3" ref="M12:M22">F12-I12</f>
        <v>-0.0874526820834346</v>
      </c>
      <c r="N12" s="28"/>
    </row>
    <row r="13" spans="1:14" ht="15">
      <c r="A13" s="62"/>
      <c r="B13" s="54" t="s">
        <v>78</v>
      </c>
      <c r="C13" s="47" t="s">
        <v>115</v>
      </c>
      <c r="D13" s="49"/>
      <c r="E13" s="28">
        <v>1364910.35</v>
      </c>
      <c r="F13" s="59">
        <f>E13/E22</f>
        <v>0.1437249919528462</v>
      </c>
      <c r="G13" s="60">
        <f>E13/'工程概况'!G6</f>
        <v>52.25337276520808</v>
      </c>
      <c r="H13" s="61">
        <v>1554369.6</v>
      </c>
      <c r="I13" s="59">
        <f>H13/H22</f>
        <v>0.18063377142047682</v>
      </c>
      <c r="J13" s="65">
        <f>H13/'工程概况'!G6</f>
        <v>59.506512001837606</v>
      </c>
      <c r="K13" s="66"/>
      <c r="L13" s="67">
        <f t="shared" si="2"/>
        <v>189459.25</v>
      </c>
      <c r="M13" s="68">
        <f t="shared" si="3"/>
        <v>-0.03690877946763063</v>
      </c>
      <c r="N13" s="28"/>
    </row>
    <row r="14" spans="1:14" ht="15">
      <c r="A14" s="62"/>
      <c r="B14" s="62"/>
      <c r="C14" s="47" t="s">
        <v>116</v>
      </c>
      <c r="D14" s="49"/>
      <c r="E14" s="28">
        <f>E12-E13-E15-E16-E17</f>
        <v>5390620.06</v>
      </c>
      <c r="F14" s="59">
        <f>E14/E22</f>
        <v>0.5676320241430883</v>
      </c>
      <c r="G14" s="60">
        <f>E14/'工程概况'!G6</f>
        <v>206.3711213200107</v>
      </c>
      <c r="H14" s="61">
        <f>H12-H13-H15-H16-H17</f>
        <v>5142277.97</v>
      </c>
      <c r="I14" s="59">
        <f>H14/H22</f>
        <v>0.5975857115408931</v>
      </c>
      <c r="J14" s="65">
        <f>H14/'工程概况'!G6</f>
        <v>196.8637483251024</v>
      </c>
      <c r="K14" s="66"/>
      <c r="L14" s="67">
        <f t="shared" si="2"/>
        <v>-248342.08999999985</v>
      </c>
      <c r="M14" s="68">
        <f t="shared" si="3"/>
        <v>-0.029953687397804796</v>
      </c>
      <c r="N14" s="28"/>
    </row>
    <row r="15" spans="1:14" ht="15">
      <c r="A15" s="62"/>
      <c r="B15" s="62"/>
      <c r="C15" s="47" t="s">
        <v>117</v>
      </c>
      <c r="D15" s="49"/>
      <c r="E15" s="28">
        <v>87124.88</v>
      </c>
      <c r="F15" s="59">
        <f>E15/E22</f>
        <v>0.009174245529673572</v>
      </c>
      <c r="G15" s="60">
        <f>E15/'工程概况'!G6</f>
        <v>3.335434324872708</v>
      </c>
      <c r="H15" s="61">
        <v>92863.57</v>
      </c>
      <c r="I15" s="59">
        <f>H15/H22</f>
        <v>0.010791704158823905</v>
      </c>
      <c r="J15" s="65">
        <f>H15/'工程概况'!G6</f>
        <v>3.5551307377206083</v>
      </c>
      <c r="K15" s="66"/>
      <c r="L15" s="67">
        <f t="shared" si="2"/>
        <v>5738.690000000002</v>
      </c>
      <c r="M15" s="68">
        <f t="shared" si="3"/>
        <v>-0.001617458629150333</v>
      </c>
      <c r="N15" s="28"/>
    </row>
    <row r="16" spans="1:14" ht="15">
      <c r="A16" s="62"/>
      <c r="B16" s="62"/>
      <c r="C16" s="47" t="s">
        <v>118</v>
      </c>
      <c r="D16" s="49"/>
      <c r="E16" s="28">
        <f>127106.17+44973.58+24441.6+48757.72+77401.53+25260.51</f>
        <v>347941.11</v>
      </c>
      <c r="F16" s="59">
        <f>E16/E22</f>
        <v>0.0366381815734743</v>
      </c>
      <c r="G16" s="60">
        <f>E16/'工程概况'!G6</f>
        <v>13.320359480877455</v>
      </c>
      <c r="H16" s="61">
        <f>121169.19+45368.37+19715.9+45613.46+72796.43+25319.04+44332.39+59290.16</f>
        <v>433604.93999999994</v>
      </c>
      <c r="I16" s="59">
        <f>H16/H22</f>
        <v>0.050389364034621846</v>
      </c>
      <c r="J16" s="65">
        <f>H16/'工程概况'!G6</f>
        <v>16.599859882852876</v>
      </c>
      <c r="K16" s="66"/>
      <c r="L16" s="67">
        <f t="shared" si="2"/>
        <v>85663.82999999996</v>
      </c>
      <c r="M16" s="68">
        <f t="shared" si="3"/>
        <v>-0.013751182461147544</v>
      </c>
      <c r="N16" s="28"/>
    </row>
    <row r="17" spans="1:14" ht="15">
      <c r="A17" s="62"/>
      <c r="B17" s="57"/>
      <c r="C17" s="47" t="s">
        <v>119</v>
      </c>
      <c r="D17" s="49"/>
      <c r="E17" s="28">
        <f>74099.23+26208.5+12213.87+28406.09+38703.78+14641.47</f>
        <v>194272.94</v>
      </c>
      <c r="F17" s="59">
        <f>E17/E22</f>
        <v>0.020456930917225273</v>
      </c>
      <c r="G17" s="60">
        <f>E17/'工程概况'!G6</f>
        <v>7.437423528961372</v>
      </c>
      <c r="H17" s="61">
        <f>70720.62+26436.78+9849.93+26575.13+36401.86+14677.21+15540.48+20763.8</f>
        <v>220965.81</v>
      </c>
      <c r="I17" s="59">
        <f>H17/H22</f>
        <v>0.025678505044926577</v>
      </c>
      <c r="J17" s="65">
        <f>H17/'工程概况'!G6</f>
        <v>8.459316641782474</v>
      </c>
      <c r="K17" s="66"/>
      <c r="L17" s="67">
        <f t="shared" si="2"/>
        <v>26692.869999999995</v>
      </c>
      <c r="M17" s="68">
        <f t="shared" si="3"/>
        <v>-0.005221574127701304</v>
      </c>
      <c r="N17" s="28"/>
    </row>
    <row r="18" spans="1:14" ht="14.25">
      <c r="A18" s="62"/>
      <c r="B18" s="28" t="s">
        <v>120</v>
      </c>
      <c r="C18" s="47" t="s">
        <v>121</v>
      </c>
      <c r="D18" s="49"/>
      <c r="E18" s="28">
        <v>194757.71</v>
      </c>
      <c r="F18" s="59">
        <f>E18/E22</f>
        <v>0.02050797717410872</v>
      </c>
      <c r="G18" s="60">
        <f>E18/'工程概况'!G6</f>
        <v>7.455982159947935</v>
      </c>
      <c r="H18" s="61">
        <v>232338.39</v>
      </c>
      <c r="I18" s="59">
        <f>H18/H22</f>
        <v>0.027000116080153392</v>
      </c>
      <c r="J18" s="65">
        <f>H18/'工程概况'!G6</f>
        <v>8.894697369932238</v>
      </c>
      <c r="K18" s="66"/>
      <c r="L18" s="67">
        <f t="shared" si="2"/>
        <v>37580.68000000002</v>
      </c>
      <c r="M18" s="68">
        <f t="shared" si="3"/>
        <v>-0.006492138906044671</v>
      </c>
      <c r="N18" s="28"/>
    </row>
    <row r="19" spans="1:14" ht="14.25">
      <c r="A19" s="62"/>
      <c r="B19" s="28" t="s">
        <v>123</v>
      </c>
      <c r="C19" s="47" t="s">
        <v>124</v>
      </c>
      <c r="D19" s="49"/>
      <c r="E19" s="28">
        <v>780544.27</v>
      </c>
      <c r="F19" s="59">
        <f>E19/E22</f>
        <v>0.08219127280014413</v>
      </c>
      <c r="G19" s="60">
        <f>E19/'工程概况'!G6</f>
        <v>29.881867845794574</v>
      </c>
      <c r="H19" s="61">
        <v>0</v>
      </c>
      <c r="I19" s="59">
        <f>H19/H22</f>
        <v>0</v>
      </c>
      <c r="J19" s="65">
        <f>H19/'[2]工程概况'!G6</f>
        <v>0</v>
      </c>
      <c r="K19" s="66"/>
      <c r="L19" s="67">
        <f t="shared" si="2"/>
        <v>-780544.27</v>
      </c>
      <c r="M19" s="68">
        <f t="shared" si="3"/>
        <v>0.08219127280014413</v>
      </c>
      <c r="N19" s="28" t="s">
        <v>143</v>
      </c>
    </row>
    <row r="20" spans="1:14" ht="14.25">
      <c r="A20" s="62"/>
      <c r="B20" s="28" t="s">
        <v>125</v>
      </c>
      <c r="C20" s="47" t="s">
        <v>126</v>
      </c>
      <c r="D20" s="49"/>
      <c r="E20" s="28">
        <v>195396.82</v>
      </c>
      <c r="F20" s="59">
        <f>E20/E22</f>
        <v>0.020575275425314003</v>
      </c>
      <c r="G20" s="60">
        <f>E20/'工程概况'!G6</f>
        <v>7.4804494468052525</v>
      </c>
      <c r="H20" s="61">
        <v>205520.1</v>
      </c>
      <c r="I20" s="59">
        <f>H20/H22</f>
        <v>0.02388355431405345</v>
      </c>
      <c r="J20" s="65">
        <f>H20/'工程概况'!G6</f>
        <v>7.868002756402895</v>
      </c>
      <c r="K20" s="66"/>
      <c r="L20" s="67">
        <f t="shared" si="2"/>
        <v>10123.279999999999</v>
      </c>
      <c r="M20" s="68">
        <f t="shared" si="3"/>
        <v>-0.003308278888739448</v>
      </c>
      <c r="N20" s="28" t="s">
        <v>144</v>
      </c>
    </row>
    <row r="21" spans="1:14" ht="14.25">
      <c r="A21" s="62"/>
      <c r="B21" s="28" t="s">
        <v>127</v>
      </c>
      <c r="C21" s="47" t="s">
        <v>128</v>
      </c>
      <c r="D21" s="49"/>
      <c r="E21" s="28">
        <v>941112.51</v>
      </c>
      <c r="F21" s="59">
        <f>E21/E22</f>
        <v>0.09909910048412547</v>
      </c>
      <c r="G21" s="60">
        <f>E21/'工程概况'!G6</f>
        <v>36.028961754909844</v>
      </c>
      <c r="H21" s="61">
        <v>723148.18</v>
      </c>
      <c r="I21" s="59">
        <f>H21/H22</f>
        <v>0.0840372734060508</v>
      </c>
      <c r="J21" s="65">
        <f>H21/'工程概况'!G6</f>
        <v>27.684551893112822</v>
      </c>
      <c r="K21" s="66"/>
      <c r="L21" s="67">
        <f t="shared" si="2"/>
        <v>-217964.32999999996</v>
      </c>
      <c r="M21" s="68">
        <f t="shared" si="3"/>
        <v>0.015061827078074672</v>
      </c>
      <c r="N21" s="28"/>
    </row>
    <row r="22" spans="1:14" ht="15">
      <c r="A22" s="57"/>
      <c r="B22" s="28"/>
      <c r="C22" s="47" t="s">
        <v>133</v>
      </c>
      <c r="D22" s="49"/>
      <c r="E22" s="28">
        <f>E5+E6+E7+E8+E9+E10+E11</f>
        <v>9496680.65</v>
      </c>
      <c r="F22" s="59">
        <f>E22/E22</f>
        <v>1</v>
      </c>
      <c r="G22" s="60">
        <f>E22/'工程概况'!G6</f>
        <v>363.56497262738793</v>
      </c>
      <c r="H22" s="61">
        <f>H5+H6+H7+H8+H9+H10+H11</f>
        <v>8605088.56</v>
      </c>
      <c r="I22" s="59">
        <f>H22/H22</f>
        <v>1</v>
      </c>
      <c r="J22" s="65">
        <f>H22/'工程概况'!G6</f>
        <v>329.4318196087439</v>
      </c>
      <c r="K22" s="66"/>
      <c r="L22" s="67">
        <f t="shared" si="2"/>
        <v>-891592.0899999999</v>
      </c>
      <c r="M22" s="68">
        <f t="shared" si="3"/>
        <v>0</v>
      </c>
      <c r="N22" s="28"/>
    </row>
    <row r="24" ht="14.25">
      <c r="H24" s="63"/>
    </row>
  </sheetData>
  <sheetProtection/>
  <mergeCells count="48">
    <mergeCell ref="A1:N1"/>
    <mergeCell ref="A2:C2"/>
    <mergeCell ref="D2:H2"/>
    <mergeCell ref="I2:J2"/>
    <mergeCell ref="K2:N2"/>
    <mergeCell ref="L3:M3"/>
    <mergeCell ref="C5:D5"/>
    <mergeCell ref="J5:K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A5:A22"/>
    <mergeCell ref="B13:B17"/>
    <mergeCell ref="G3:G4"/>
    <mergeCell ref="N3:N4"/>
    <mergeCell ref="A3:D4"/>
    <mergeCell ref="J3:K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IV65536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21.875" style="1" customWidth="1"/>
    <col min="4" max="4" width="9.00390625" style="1" customWidth="1"/>
    <col min="5" max="5" width="10.25390625" style="1" customWidth="1"/>
    <col min="6" max="6" width="10.50390625" style="1" customWidth="1"/>
    <col min="7" max="7" width="9.50390625" style="1" customWidth="1"/>
    <col min="8" max="8" width="10.875" style="1" customWidth="1"/>
    <col min="9" max="9" width="11.125" style="1" bestFit="1" customWidth="1"/>
    <col min="10" max="10" width="11.25390625" style="33" bestFit="1" customWidth="1"/>
    <col min="11" max="11" width="11.625" style="1" bestFit="1" customWidth="1"/>
    <col min="12" max="12" width="10.25390625" style="1" customWidth="1"/>
    <col min="13" max="13" width="11.50390625" style="33" bestFit="1" customWidth="1"/>
    <col min="14" max="14" width="10.875" style="1" bestFit="1" customWidth="1"/>
    <col min="15" max="16384" width="9.00390625" style="1" customWidth="1"/>
  </cols>
  <sheetData>
    <row r="1" spans="1:14" ht="12.75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 t="s">
        <v>146</v>
      </c>
      <c r="B2" s="3" t="s">
        <v>147</v>
      </c>
      <c r="C2" s="3" t="s">
        <v>96</v>
      </c>
      <c r="D2" s="3" t="s">
        <v>148</v>
      </c>
      <c r="E2" s="3" t="s">
        <v>149</v>
      </c>
      <c r="F2" s="3"/>
      <c r="G2" s="3" t="s">
        <v>150</v>
      </c>
      <c r="H2" s="3"/>
      <c r="I2" s="3" t="s">
        <v>151</v>
      </c>
      <c r="J2" s="3"/>
      <c r="K2" s="3" t="s">
        <v>152</v>
      </c>
      <c r="L2" s="3"/>
      <c r="M2" s="3"/>
      <c r="N2" s="3" t="s">
        <v>71</v>
      </c>
    </row>
    <row r="3" spans="1:14" ht="12.75">
      <c r="A3" s="3"/>
      <c r="B3" s="3"/>
      <c r="C3" s="3"/>
      <c r="D3" s="3"/>
      <c r="E3" s="3" t="s">
        <v>153</v>
      </c>
      <c r="F3" s="3" t="s">
        <v>154</v>
      </c>
      <c r="G3" s="3" t="s">
        <v>155</v>
      </c>
      <c r="H3" s="3" t="s">
        <v>154</v>
      </c>
      <c r="I3" s="3" t="s">
        <v>155</v>
      </c>
      <c r="J3" s="39" t="s">
        <v>154</v>
      </c>
      <c r="K3" s="3" t="s">
        <v>149</v>
      </c>
      <c r="L3" s="3" t="s">
        <v>156</v>
      </c>
      <c r="M3" s="39" t="s">
        <v>157</v>
      </c>
      <c r="N3" s="3"/>
    </row>
    <row r="4" spans="1:14" ht="12.75">
      <c r="A4" s="3"/>
      <c r="B4" s="3"/>
      <c r="C4" s="3"/>
      <c r="D4" s="3"/>
      <c r="E4" s="3"/>
      <c r="F4" s="3" t="s">
        <v>158</v>
      </c>
      <c r="G4" s="3" t="s">
        <v>159</v>
      </c>
      <c r="H4" s="3" t="s">
        <v>159</v>
      </c>
      <c r="I4" s="3" t="s">
        <v>157</v>
      </c>
      <c r="J4" s="39" t="s">
        <v>157</v>
      </c>
      <c r="K4" s="3"/>
      <c r="L4" s="3"/>
      <c r="M4" s="39"/>
      <c r="N4" s="3"/>
    </row>
    <row r="5" spans="1:14" s="1" customFormat="1" ht="30.75" customHeight="1">
      <c r="A5" s="5">
        <v>1</v>
      </c>
      <c r="B5" s="3" t="s">
        <v>160</v>
      </c>
      <c r="C5" s="3" t="s">
        <v>161</v>
      </c>
      <c r="D5" s="3" t="s">
        <v>162</v>
      </c>
      <c r="E5" s="5">
        <v>0</v>
      </c>
      <c r="F5" s="34">
        <v>1</v>
      </c>
      <c r="G5" s="5">
        <v>0</v>
      </c>
      <c r="H5" s="35">
        <v>332651.58</v>
      </c>
      <c r="I5" s="5">
        <v>0</v>
      </c>
      <c r="J5" s="40">
        <f>F5*H5</f>
        <v>332651.58</v>
      </c>
      <c r="K5" s="5">
        <f aca="true" t="shared" si="0" ref="K5:K12">F5-E5</f>
        <v>1</v>
      </c>
      <c r="L5" s="5">
        <f>H5-G5</f>
        <v>332651.58</v>
      </c>
      <c r="M5" s="40">
        <f>J5-I5</f>
        <v>332651.58</v>
      </c>
      <c r="N5" s="4" t="s">
        <v>163</v>
      </c>
    </row>
    <row r="6" spans="1:14" s="1" customFormat="1" ht="23.25" customHeight="1">
      <c r="A6" s="5">
        <v>2</v>
      </c>
      <c r="B6" s="3" t="s">
        <v>160</v>
      </c>
      <c r="C6" s="3" t="s">
        <v>164</v>
      </c>
      <c r="D6" s="3" t="s">
        <v>162</v>
      </c>
      <c r="E6" s="5">
        <v>0</v>
      </c>
      <c r="F6" s="34">
        <v>1</v>
      </c>
      <c r="G6" s="5">
        <v>0</v>
      </c>
      <c r="H6" s="35">
        <v>4872966.77</v>
      </c>
      <c r="I6" s="5">
        <v>0</v>
      </c>
      <c r="J6" s="40">
        <f>F6*H6</f>
        <v>4872966.77</v>
      </c>
      <c r="K6" s="5">
        <f t="shared" si="0"/>
        <v>1</v>
      </c>
      <c r="L6" s="5">
        <f>H6-G6</f>
        <v>4872966.77</v>
      </c>
      <c r="M6" s="40">
        <f>J6-I6</f>
        <v>4872966.77</v>
      </c>
      <c r="N6" s="4" t="s">
        <v>163</v>
      </c>
    </row>
    <row r="7" spans="1:14" s="1" customFormat="1" ht="30" customHeight="1">
      <c r="A7" s="5">
        <v>3</v>
      </c>
      <c r="B7" s="3" t="s">
        <v>160</v>
      </c>
      <c r="C7" s="3" t="s">
        <v>165</v>
      </c>
      <c r="D7" s="3" t="s">
        <v>162</v>
      </c>
      <c r="E7" s="5">
        <v>0</v>
      </c>
      <c r="F7" s="34">
        <v>1</v>
      </c>
      <c r="G7" s="5">
        <v>0</v>
      </c>
      <c r="H7" s="35">
        <v>124717.58</v>
      </c>
      <c r="I7" s="5">
        <v>0</v>
      </c>
      <c r="J7" s="40">
        <f>F7*H7</f>
        <v>124717.58</v>
      </c>
      <c r="K7" s="5">
        <f t="shared" si="0"/>
        <v>1</v>
      </c>
      <c r="L7" s="5">
        <f>H7-G7</f>
        <v>124717.58</v>
      </c>
      <c r="M7" s="40">
        <f>J7-I7</f>
        <v>124717.58</v>
      </c>
      <c r="N7" s="4" t="s">
        <v>163</v>
      </c>
    </row>
    <row r="8" spans="1:14" s="1" customFormat="1" ht="27.75" customHeight="1">
      <c r="A8" s="5">
        <v>4</v>
      </c>
      <c r="B8" s="3" t="s">
        <v>160</v>
      </c>
      <c r="C8" s="3" t="s">
        <v>166</v>
      </c>
      <c r="D8" s="3" t="s">
        <v>162</v>
      </c>
      <c r="E8" s="5">
        <v>0</v>
      </c>
      <c r="F8" s="34">
        <v>1</v>
      </c>
      <c r="G8" s="5">
        <v>0</v>
      </c>
      <c r="H8" s="35">
        <v>1860572.02</v>
      </c>
      <c r="I8" s="5">
        <v>0</v>
      </c>
      <c r="J8" s="40">
        <v>1860572.02</v>
      </c>
      <c r="K8" s="5">
        <f t="shared" si="0"/>
        <v>1</v>
      </c>
      <c r="L8" s="5">
        <v>1860572.02</v>
      </c>
      <c r="M8" s="40">
        <v>1860572.02</v>
      </c>
      <c r="N8" s="4" t="s">
        <v>167</v>
      </c>
    </row>
    <row r="9" spans="1:14" s="1" customFormat="1" ht="23.25" customHeight="1">
      <c r="A9" s="5">
        <v>5</v>
      </c>
      <c r="B9" s="3" t="s">
        <v>160</v>
      </c>
      <c r="C9" s="3" t="s">
        <v>168</v>
      </c>
      <c r="D9" s="3" t="s">
        <v>162</v>
      </c>
      <c r="E9" s="5">
        <v>0</v>
      </c>
      <c r="F9" s="34">
        <v>1</v>
      </c>
      <c r="G9" s="5">
        <v>0</v>
      </c>
      <c r="H9" s="35">
        <v>3012372.73</v>
      </c>
      <c r="I9" s="5">
        <v>0</v>
      </c>
      <c r="J9" s="40">
        <v>3012372.73</v>
      </c>
      <c r="K9" s="5">
        <f t="shared" si="0"/>
        <v>1</v>
      </c>
      <c r="L9" s="5">
        <v>3012372.73</v>
      </c>
      <c r="M9" s="40">
        <v>3012372.73</v>
      </c>
      <c r="N9" s="4" t="s">
        <v>167</v>
      </c>
    </row>
    <row r="10" spans="1:14" s="1" customFormat="1" ht="23.25" customHeight="1">
      <c r="A10" s="5">
        <v>6</v>
      </c>
      <c r="B10" s="3" t="s">
        <v>160</v>
      </c>
      <c r="C10" s="3" t="s">
        <v>169</v>
      </c>
      <c r="D10" s="3" t="s">
        <v>162</v>
      </c>
      <c r="E10" s="5">
        <v>0</v>
      </c>
      <c r="F10" s="34">
        <v>1</v>
      </c>
      <c r="G10" s="5">
        <v>0</v>
      </c>
      <c r="H10" s="35">
        <v>1126841.25</v>
      </c>
      <c r="I10" s="5">
        <v>0</v>
      </c>
      <c r="J10" s="40">
        <v>1126841.25</v>
      </c>
      <c r="K10" s="5">
        <f t="shared" si="0"/>
        <v>1</v>
      </c>
      <c r="L10" s="5">
        <v>1126841.25</v>
      </c>
      <c r="M10" s="40">
        <v>1126841.25</v>
      </c>
      <c r="N10" s="4" t="s">
        <v>167</v>
      </c>
    </row>
    <row r="11" spans="1:14" s="1" customFormat="1" ht="23.25" customHeight="1">
      <c r="A11" s="5">
        <v>7</v>
      </c>
      <c r="B11" s="3" t="s">
        <v>160</v>
      </c>
      <c r="C11" s="3" t="s">
        <v>170</v>
      </c>
      <c r="D11" s="3" t="s">
        <v>162</v>
      </c>
      <c r="E11" s="5">
        <v>0</v>
      </c>
      <c r="F11" s="34">
        <v>1</v>
      </c>
      <c r="G11" s="5">
        <v>0</v>
      </c>
      <c r="H11" s="35">
        <v>175921.15</v>
      </c>
      <c r="I11" s="5">
        <v>0</v>
      </c>
      <c r="J11" s="40">
        <v>175921.15</v>
      </c>
      <c r="K11" s="5">
        <f t="shared" si="0"/>
        <v>1</v>
      </c>
      <c r="L11" s="5">
        <v>175921.15</v>
      </c>
      <c r="M11" s="40">
        <v>175921.15</v>
      </c>
      <c r="N11" s="4" t="s">
        <v>171</v>
      </c>
    </row>
    <row r="12" spans="1:14" s="1" customFormat="1" ht="23.25" customHeight="1">
      <c r="A12" s="5">
        <v>8</v>
      </c>
      <c r="B12" s="3" t="s">
        <v>160</v>
      </c>
      <c r="C12" s="3" t="s">
        <v>172</v>
      </c>
      <c r="D12" s="3" t="s">
        <v>162</v>
      </c>
      <c r="E12" s="5">
        <v>0</v>
      </c>
      <c r="F12" s="34">
        <v>1</v>
      </c>
      <c r="G12" s="5">
        <v>0</v>
      </c>
      <c r="H12" s="35">
        <v>1780489.68</v>
      </c>
      <c r="I12" s="5">
        <v>0</v>
      </c>
      <c r="J12" s="40">
        <v>1780489.68</v>
      </c>
      <c r="K12" s="5">
        <f t="shared" si="0"/>
        <v>1</v>
      </c>
      <c r="L12" s="5">
        <v>1780489.68</v>
      </c>
      <c r="M12" s="40">
        <v>1780489.68</v>
      </c>
      <c r="N12" s="4" t="s">
        <v>173</v>
      </c>
    </row>
    <row r="13" spans="1:14" s="1" customFormat="1" ht="39" customHeight="1">
      <c r="A13" s="5">
        <v>9</v>
      </c>
      <c r="B13" s="3" t="s">
        <v>160</v>
      </c>
      <c r="C13" s="3" t="s">
        <v>112</v>
      </c>
      <c r="D13" s="3" t="s">
        <v>162</v>
      </c>
      <c r="E13" s="5">
        <v>1</v>
      </c>
      <c r="F13" s="34">
        <v>1</v>
      </c>
      <c r="G13" s="5">
        <v>20192402.71</v>
      </c>
      <c r="H13" s="35">
        <f>17823479.43+44825.46+119516.75+482564.68+686169.71</f>
        <v>19156556.03</v>
      </c>
      <c r="I13" s="5">
        <f>G13</f>
        <v>20192402.71</v>
      </c>
      <c r="J13" s="40">
        <f>H13</f>
        <v>19156556.03</v>
      </c>
      <c r="K13" s="5">
        <v>1</v>
      </c>
      <c r="L13" s="5">
        <f>H13-G13</f>
        <v>-1035846.6799999997</v>
      </c>
      <c r="M13" s="40">
        <f>L13</f>
        <v>-1035846.6799999997</v>
      </c>
      <c r="N13" s="4" t="s">
        <v>174</v>
      </c>
    </row>
    <row r="14" spans="1:14" s="1" customFormat="1" ht="36" customHeight="1">
      <c r="A14" s="5">
        <v>10</v>
      </c>
      <c r="B14" s="36" t="s">
        <v>160</v>
      </c>
      <c r="C14" s="36" t="s">
        <v>175</v>
      </c>
      <c r="D14" s="36" t="s">
        <v>162</v>
      </c>
      <c r="E14" s="37">
        <v>0</v>
      </c>
      <c r="F14" s="34">
        <v>1</v>
      </c>
      <c r="G14" s="37">
        <v>0</v>
      </c>
      <c r="H14" s="35">
        <v>569843.51</v>
      </c>
      <c r="I14" s="37">
        <v>0</v>
      </c>
      <c r="J14" s="41">
        <v>569843.51</v>
      </c>
      <c r="K14" s="37">
        <v>1</v>
      </c>
      <c r="L14" s="37">
        <v>569843.51</v>
      </c>
      <c r="M14" s="41">
        <v>569843.51</v>
      </c>
      <c r="N14" s="42" t="s">
        <v>176</v>
      </c>
    </row>
    <row r="15" spans="1:14" ht="30" customHeight="1">
      <c r="A15" s="5">
        <v>11</v>
      </c>
      <c r="B15" s="36" t="s">
        <v>160</v>
      </c>
      <c r="C15" s="36" t="s">
        <v>177</v>
      </c>
      <c r="D15" s="36" t="s">
        <v>162</v>
      </c>
      <c r="E15" s="37">
        <v>0</v>
      </c>
      <c r="F15" s="34">
        <v>1</v>
      </c>
      <c r="G15" s="37">
        <v>0</v>
      </c>
      <c r="H15" s="35">
        <v>464709.07</v>
      </c>
      <c r="I15" s="37">
        <v>0</v>
      </c>
      <c r="J15" s="41">
        <v>464709.07</v>
      </c>
      <c r="K15" s="37"/>
      <c r="L15" s="37">
        <v>464709.07</v>
      </c>
      <c r="M15" s="37">
        <v>464709.07</v>
      </c>
      <c r="N15" s="42" t="s">
        <v>142</v>
      </c>
    </row>
    <row r="16" spans="1:14" ht="13.5">
      <c r="A16" s="11"/>
      <c r="B16" s="36"/>
      <c r="C16" s="36"/>
      <c r="D16" s="36"/>
      <c r="E16" s="37"/>
      <c r="F16" s="34"/>
      <c r="G16" s="37"/>
      <c r="H16" s="35"/>
      <c r="I16" s="37"/>
      <c r="J16" s="41"/>
      <c r="K16" s="37"/>
      <c r="L16" s="37"/>
      <c r="M16" s="43"/>
      <c r="N16" s="42"/>
    </row>
    <row r="17" spans="1:14" ht="13.5">
      <c r="A17" s="11"/>
      <c r="B17" s="38"/>
      <c r="C17" s="36"/>
      <c r="D17" s="36"/>
      <c r="E17" s="37"/>
      <c r="F17" s="34"/>
      <c r="G17" s="37"/>
      <c r="H17" s="35"/>
      <c r="I17" s="37"/>
      <c r="J17" s="41"/>
      <c r="K17" s="37"/>
      <c r="L17" s="37"/>
      <c r="M17" s="43"/>
      <c r="N17" s="42"/>
    </row>
    <row r="18" spans="1:14" ht="13.5">
      <c r="A18" s="11"/>
      <c r="B18" s="38"/>
      <c r="C18" s="36"/>
      <c r="D18" s="36"/>
      <c r="E18" s="37"/>
      <c r="F18" s="34"/>
      <c r="G18" s="37"/>
      <c r="H18" s="35"/>
      <c r="I18" s="37"/>
      <c r="J18" s="41"/>
      <c r="K18" s="37"/>
      <c r="L18" s="37"/>
      <c r="M18" s="43"/>
      <c r="N18" s="42"/>
    </row>
    <row r="19" spans="1:14" ht="13.5">
      <c r="A19" s="11"/>
      <c r="B19" s="38"/>
      <c r="C19" s="36"/>
      <c r="D19" s="36"/>
      <c r="E19" s="37"/>
      <c r="F19" s="34"/>
      <c r="G19" s="37"/>
      <c r="H19" s="35"/>
      <c r="I19" s="37"/>
      <c r="J19" s="41"/>
      <c r="K19" s="37"/>
      <c r="L19" s="37"/>
      <c r="M19" s="43"/>
      <c r="N19" s="42"/>
    </row>
    <row r="20" spans="1:14" ht="13.5">
      <c r="A20" s="11"/>
      <c r="B20" s="38"/>
      <c r="C20" s="36"/>
      <c r="D20" s="36"/>
      <c r="E20" s="37"/>
      <c r="F20" s="34"/>
      <c r="G20" s="37"/>
      <c r="H20" s="35"/>
      <c r="I20" s="37"/>
      <c r="J20" s="41"/>
      <c r="K20" s="37"/>
      <c r="L20" s="37"/>
      <c r="M20" s="43"/>
      <c r="N20" s="42"/>
    </row>
    <row r="21" spans="1:14" ht="13.5">
      <c r="A21" s="11"/>
      <c r="B21" s="38"/>
      <c r="C21" s="36"/>
      <c r="D21" s="36"/>
      <c r="E21" s="37"/>
      <c r="F21" s="34"/>
      <c r="G21" s="37"/>
      <c r="H21" s="35"/>
      <c r="I21" s="37"/>
      <c r="J21" s="41"/>
      <c r="K21" s="37"/>
      <c r="L21" s="37"/>
      <c r="M21" s="43"/>
      <c r="N21" s="42"/>
    </row>
    <row r="22" spans="1:14" ht="13.5">
      <c r="A22" s="11"/>
      <c r="B22" s="38"/>
      <c r="C22" s="36"/>
      <c r="D22" s="36"/>
      <c r="E22" s="37"/>
      <c r="F22" s="34"/>
      <c r="G22" s="37"/>
      <c r="H22" s="35"/>
      <c r="I22" s="37"/>
      <c r="J22" s="41"/>
      <c r="K22" s="37"/>
      <c r="L22" s="37"/>
      <c r="M22" s="43"/>
      <c r="N22" s="42"/>
    </row>
    <row r="23" spans="1:14" ht="13.5">
      <c r="A23" s="11"/>
      <c r="B23" s="38"/>
      <c r="C23" s="36"/>
      <c r="D23" s="36"/>
      <c r="E23" s="37"/>
      <c r="F23" s="34"/>
      <c r="G23" s="37"/>
      <c r="H23" s="35"/>
      <c r="I23" s="37"/>
      <c r="J23" s="41"/>
      <c r="K23" s="37"/>
      <c r="L23" s="37"/>
      <c r="M23" s="43"/>
      <c r="N23" s="42"/>
    </row>
    <row r="24" spans="1:14" ht="13.5">
      <c r="A24" s="11"/>
      <c r="B24" s="38"/>
      <c r="C24" s="36"/>
      <c r="D24" s="36"/>
      <c r="E24" s="37"/>
      <c r="F24" s="34"/>
      <c r="G24" s="37"/>
      <c r="H24" s="35"/>
      <c r="I24" s="37"/>
      <c r="J24" s="41"/>
      <c r="K24" s="37"/>
      <c r="L24" s="37"/>
      <c r="M24" s="43"/>
      <c r="N24" s="42"/>
    </row>
    <row r="25" spans="1:14" ht="13.5">
      <c r="A25" s="11"/>
      <c r="B25" s="38"/>
      <c r="C25" s="36"/>
      <c r="D25" s="36"/>
      <c r="E25" s="37"/>
      <c r="F25" s="34"/>
      <c r="G25" s="37"/>
      <c r="H25" s="35"/>
      <c r="I25" s="37"/>
      <c r="J25" s="41"/>
      <c r="K25" s="37"/>
      <c r="L25" s="37"/>
      <c r="M25" s="43"/>
      <c r="N25" s="42"/>
    </row>
  </sheetData>
  <sheetProtection/>
  <mergeCells count="14">
    <mergeCell ref="A1:N1"/>
    <mergeCell ref="E2:F2"/>
    <mergeCell ref="G2:H2"/>
    <mergeCell ref="I2:J2"/>
    <mergeCell ref="K2:M2"/>
    <mergeCell ref="A2:A4"/>
    <mergeCell ref="B2:B4"/>
    <mergeCell ref="C2:C4"/>
    <mergeCell ref="D2:D4"/>
    <mergeCell ref="E3:E4"/>
    <mergeCell ref="K3:K4"/>
    <mergeCell ref="L3:L4"/>
    <mergeCell ref="M3:M4"/>
    <mergeCell ref="N2:N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IV65536"/>
    </sheetView>
  </sheetViews>
  <sheetFormatPr defaultColWidth="9.00390625" defaultRowHeight="14.25"/>
  <cols>
    <col min="1" max="1" width="9.00390625" style="27" customWidth="1"/>
    <col min="2" max="2" width="11.25390625" style="27" customWidth="1"/>
    <col min="3" max="4" width="11.50390625" style="27" bestFit="1" customWidth="1"/>
    <col min="5" max="5" width="10.375" style="27" bestFit="1" customWidth="1"/>
    <col min="6" max="7" width="9.00390625" style="27" customWidth="1"/>
    <col min="8" max="8" width="11.50390625" style="27" bestFit="1" customWidth="1"/>
    <col min="9" max="9" width="9.50390625" style="27" bestFit="1" customWidth="1"/>
    <col min="10" max="10" width="12.625" style="27" bestFit="1" customWidth="1"/>
    <col min="11" max="16384" width="9.00390625" style="27" customWidth="1"/>
  </cols>
  <sheetData>
    <row r="1" spans="1:11" ht="15">
      <c r="A1" s="14" t="s">
        <v>178</v>
      </c>
      <c r="B1" s="15"/>
      <c r="C1" s="15"/>
      <c r="D1" s="15"/>
      <c r="E1" s="15"/>
      <c r="F1" s="15"/>
      <c r="G1" s="15"/>
      <c r="H1" s="15"/>
      <c r="I1" s="15"/>
      <c r="J1" s="15"/>
      <c r="K1" s="25"/>
    </row>
    <row r="2" spans="1:11" ht="15">
      <c r="A2" s="17" t="s">
        <v>121</v>
      </c>
      <c r="B2" s="26"/>
      <c r="C2" s="26"/>
      <c r="D2" s="26"/>
      <c r="E2" s="18"/>
      <c r="F2" s="17" t="s">
        <v>124</v>
      </c>
      <c r="G2" s="26"/>
      <c r="H2" s="26"/>
      <c r="I2" s="26"/>
      <c r="J2" s="18"/>
      <c r="K2" s="16" t="s">
        <v>71</v>
      </c>
    </row>
    <row r="3" spans="1:11" ht="26.25">
      <c r="A3" s="21" t="s">
        <v>146</v>
      </c>
      <c r="B3" s="22" t="s">
        <v>96</v>
      </c>
      <c r="C3" s="22" t="s">
        <v>68</v>
      </c>
      <c r="D3" s="22" t="s">
        <v>69</v>
      </c>
      <c r="E3" s="22" t="s">
        <v>179</v>
      </c>
      <c r="F3" s="22" t="s">
        <v>146</v>
      </c>
      <c r="G3" s="22" t="s">
        <v>96</v>
      </c>
      <c r="H3" s="22" t="s">
        <v>68</v>
      </c>
      <c r="I3" s="22" t="s">
        <v>69</v>
      </c>
      <c r="J3" s="30" t="s">
        <v>179</v>
      </c>
      <c r="K3" s="21"/>
    </row>
    <row r="4" spans="1:11" ht="39.75" customHeight="1">
      <c r="A4" s="21">
        <v>1</v>
      </c>
      <c r="B4" s="22" t="s">
        <v>180</v>
      </c>
      <c r="C4" s="22">
        <f>1765221.62+3138381.63</f>
        <v>4903603.25</v>
      </c>
      <c r="D4" s="22">
        <f>1500847.32+3103941.43</f>
        <v>4604788.75</v>
      </c>
      <c r="E4" s="22">
        <f>D4-C4</f>
        <v>-298814.5</v>
      </c>
      <c r="F4" s="22">
        <v>1</v>
      </c>
      <c r="G4" s="22" t="s">
        <v>143</v>
      </c>
      <c r="H4" s="22">
        <f>161628.92+28932.03+1453888+1847622.6+780544.27</f>
        <v>4272615.82</v>
      </c>
      <c r="I4" s="22">
        <v>0</v>
      </c>
      <c r="J4" s="30">
        <f>I4-H4</f>
        <v>-4272615.82</v>
      </c>
      <c r="K4" s="22" t="s">
        <v>181</v>
      </c>
    </row>
    <row r="5" spans="1:11" ht="49.5" customHeight="1">
      <c r="A5" s="24">
        <v>2</v>
      </c>
      <c r="B5" s="22" t="s">
        <v>182</v>
      </c>
      <c r="C5" s="22">
        <v>0</v>
      </c>
      <c r="D5" s="22">
        <f>30408.72+874.94</f>
        <v>31283.66</v>
      </c>
      <c r="E5" s="22">
        <f>D5-C5</f>
        <v>31283.66</v>
      </c>
      <c r="F5" s="22">
        <v>2</v>
      </c>
      <c r="G5" s="22" t="s">
        <v>183</v>
      </c>
      <c r="H5" s="23">
        <f>5753+1602611.56</f>
        <v>1608364.56</v>
      </c>
      <c r="I5" s="23">
        <v>0</v>
      </c>
      <c r="J5" s="23">
        <f>I5-H5</f>
        <v>-1608364.56</v>
      </c>
      <c r="K5" s="22" t="s">
        <v>184</v>
      </c>
    </row>
    <row r="6" spans="1:12" ht="93.75" customHeight="1">
      <c r="A6" s="21">
        <v>3</v>
      </c>
      <c r="B6" s="28" t="s">
        <v>185</v>
      </c>
      <c r="C6" s="28">
        <v>0</v>
      </c>
      <c r="D6" s="28">
        <v>40823.41</v>
      </c>
      <c r="E6" s="28">
        <f>D6-C6</f>
        <v>40823.41</v>
      </c>
      <c r="F6" s="28">
        <v>3</v>
      </c>
      <c r="G6" s="28"/>
      <c r="H6" s="28"/>
      <c r="I6" s="28"/>
      <c r="J6" s="31"/>
      <c r="K6" s="28"/>
      <c r="L6" s="32"/>
    </row>
    <row r="7" spans="1:12" ht="30" customHeight="1">
      <c r="A7" s="24">
        <v>4</v>
      </c>
      <c r="B7" s="28" t="s">
        <v>186</v>
      </c>
      <c r="C7" s="28">
        <v>0</v>
      </c>
      <c r="D7" s="28">
        <v>53692.29</v>
      </c>
      <c r="E7" s="28">
        <v>53692.29</v>
      </c>
      <c r="F7" s="28"/>
      <c r="G7" s="28"/>
      <c r="H7" s="29"/>
      <c r="I7" s="29"/>
      <c r="J7" s="29"/>
      <c r="K7" s="28"/>
      <c r="L7" s="32"/>
    </row>
    <row r="8" spans="1:12" ht="26.25">
      <c r="A8" s="24">
        <v>5</v>
      </c>
      <c r="B8" s="28" t="s">
        <v>187</v>
      </c>
      <c r="C8" s="28">
        <v>0</v>
      </c>
      <c r="D8" s="29">
        <f>30715.82+1275.64</f>
        <v>31991.46</v>
      </c>
      <c r="E8" s="29">
        <f>30715.82+1275.64</f>
        <v>31991.46</v>
      </c>
      <c r="F8" s="29"/>
      <c r="G8" s="28"/>
      <c r="H8" s="29"/>
      <c r="I8" s="29"/>
      <c r="J8" s="29"/>
      <c r="K8" s="28"/>
      <c r="L8" s="32"/>
    </row>
    <row r="9" spans="1:12" ht="26.25">
      <c r="A9" s="24">
        <v>6</v>
      </c>
      <c r="B9" s="28" t="s">
        <v>188</v>
      </c>
      <c r="C9" s="28">
        <v>0</v>
      </c>
      <c r="D9" s="29">
        <f>2594.83+43203.11</f>
        <v>45797.94</v>
      </c>
      <c r="E9" s="29">
        <f>2594.83+43203.11</f>
        <v>45797.94</v>
      </c>
      <c r="F9" s="29"/>
      <c r="G9" s="29"/>
      <c r="H9" s="29"/>
      <c r="I9" s="29"/>
      <c r="J9" s="29"/>
      <c r="K9" s="28"/>
      <c r="L9" s="32"/>
    </row>
    <row r="10" spans="1:12" ht="26.25">
      <c r="A10" s="24">
        <v>7</v>
      </c>
      <c r="B10" s="28" t="s">
        <v>189</v>
      </c>
      <c r="C10" s="29">
        <v>130378.42</v>
      </c>
      <c r="D10" s="29">
        <v>164114.93</v>
      </c>
      <c r="E10" s="29">
        <f>C10-D10</f>
        <v>-33736.509999999995</v>
      </c>
      <c r="F10" s="29"/>
      <c r="G10" s="29"/>
      <c r="H10" s="29"/>
      <c r="I10" s="29"/>
      <c r="J10" s="29"/>
      <c r="K10" s="28"/>
      <c r="L10" s="32"/>
    </row>
    <row r="11" spans="1:12" ht="26.25">
      <c r="A11" s="24">
        <v>8</v>
      </c>
      <c r="B11" s="28" t="s">
        <v>190</v>
      </c>
      <c r="C11" s="29">
        <v>64379.29</v>
      </c>
      <c r="D11" s="29">
        <v>68223.46</v>
      </c>
      <c r="E11" s="29">
        <f>C11-D11</f>
        <v>-3844.1700000000055</v>
      </c>
      <c r="F11" s="29"/>
      <c r="G11" s="29"/>
      <c r="H11" s="29"/>
      <c r="I11" s="29"/>
      <c r="J11" s="29"/>
      <c r="K11" s="28"/>
      <c r="L11" s="32"/>
    </row>
    <row r="12" spans="1:12" ht="14.25">
      <c r="A12" s="24">
        <v>9</v>
      </c>
      <c r="B12" s="28"/>
      <c r="C12" s="29"/>
      <c r="D12" s="29"/>
      <c r="E12" s="29"/>
      <c r="F12" s="29"/>
      <c r="G12" s="29"/>
      <c r="H12" s="29"/>
      <c r="I12" s="29"/>
      <c r="J12" s="29"/>
      <c r="K12" s="28"/>
      <c r="L12" s="32"/>
    </row>
    <row r="13" spans="1:12" ht="15">
      <c r="A13" s="24">
        <v>10</v>
      </c>
      <c r="B13" s="28"/>
      <c r="C13" s="29"/>
      <c r="D13" s="29"/>
      <c r="E13" s="29"/>
      <c r="F13" s="29"/>
      <c r="G13" s="29"/>
      <c r="H13" s="29"/>
      <c r="I13" s="29"/>
      <c r="J13" s="29"/>
      <c r="K13" s="28"/>
      <c r="L13" s="32"/>
    </row>
    <row r="14" spans="1:12" ht="15">
      <c r="A14" s="24">
        <v>11</v>
      </c>
      <c r="B14" s="28"/>
      <c r="C14" s="29"/>
      <c r="D14" s="29"/>
      <c r="E14" s="29"/>
      <c r="F14" s="29"/>
      <c r="G14" s="29"/>
      <c r="H14" s="29"/>
      <c r="I14" s="29"/>
      <c r="J14" s="29"/>
      <c r="K14" s="28"/>
      <c r="L14" s="32"/>
    </row>
  </sheetData>
  <sheetProtection/>
  <mergeCells count="4">
    <mergeCell ref="A1:K1"/>
    <mergeCell ref="A2:E2"/>
    <mergeCell ref="F2:J2"/>
    <mergeCell ref="K2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F15" sqref="F15"/>
    </sheetView>
  </sheetViews>
  <sheetFormatPr defaultColWidth="9.00390625" defaultRowHeight="14.25"/>
  <sheetData>
    <row r="1" spans="1:13" ht="15">
      <c r="A1" s="14" t="s">
        <v>191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5"/>
    </row>
    <row r="2" spans="1:13" ht="15">
      <c r="A2" s="16" t="s">
        <v>146</v>
      </c>
      <c r="B2" s="16" t="s">
        <v>96</v>
      </c>
      <c r="C2" s="16" t="s">
        <v>148</v>
      </c>
      <c r="D2" s="17" t="s">
        <v>149</v>
      </c>
      <c r="E2" s="18"/>
      <c r="F2" s="17" t="s">
        <v>192</v>
      </c>
      <c r="G2" s="18"/>
      <c r="H2" s="17" t="s">
        <v>151</v>
      </c>
      <c r="I2" s="18"/>
      <c r="J2" s="17" t="s">
        <v>152</v>
      </c>
      <c r="K2" s="26"/>
      <c r="L2" s="18"/>
      <c r="M2" s="16" t="s">
        <v>71</v>
      </c>
    </row>
    <row r="3" spans="1:13" ht="14.25">
      <c r="A3" s="19"/>
      <c r="B3" s="19"/>
      <c r="C3" s="19"/>
      <c r="D3" s="20" t="s">
        <v>155</v>
      </c>
      <c r="E3" s="20" t="s">
        <v>154</v>
      </c>
      <c r="F3" s="20" t="s">
        <v>155</v>
      </c>
      <c r="G3" s="16" t="s">
        <v>149</v>
      </c>
      <c r="H3" s="16" t="s">
        <v>156</v>
      </c>
      <c r="I3" s="16" t="s">
        <v>157</v>
      </c>
      <c r="J3" s="16" t="s">
        <v>149</v>
      </c>
      <c r="K3" s="16" t="s">
        <v>159</v>
      </c>
      <c r="L3" s="16" t="s">
        <v>157</v>
      </c>
      <c r="M3" s="19"/>
    </row>
    <row r="4" spans="1:13" ht="15">
      <c r="A4" s="21"/>
      <c r="B4" s="21"/>
      <c r="C4" s="21"/>
      <c r="D4" s="22" t="s">
        <v>158</v>
      </c>
      <c r="E4" s="22" t="s">
        <v>158</v>
      </c>
      <c r="F4" s="22" t="s">
        <v>159</v>
      </c>
      <c r="G4" s="21"/>
      <c r="H4" s="21"/>
      <c r="I4" s="21"/>
      <c r="J4" s="21"/>
      <c r="K4" s="21"/>
      <c r="L4" s="21"/>
      <c r="M4" s="21"/>
    </row>
    <row r="5" spans="1:13" ht="15">
      <c r="A5" s="21" t="s">
        <v>193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</sheetData>
  <sheetProtection/>
  <mergeCells count="15">
    <mergeCell ref="A1:M1"/>
    <mergeCell ref="D2:E2"/>
    <mergeCell ref="F2:G2"/>
    <mergeCell ref="H2:I2"/>
    <mergeCell ref="J2:L2"/>
    <mergeCell ref="A2:A4"/>
    <mergeCell ref="B2:B4"/>
    <mergeCell ref="C2:C4"/>
    <mergeCell ref="G3:G4"/>
    <mergeCell ref="H3:H4"/>
    <mergeCell ref="I3:I4"/>
    <mergeCell ref="J3:J4"/>
    <mergeCell ref="K3:K4"/>
    <mergeCell ref="L3:L4"/>
    <mergeCell ref="M2:M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J21" sqref="J21"/>
    </sheetView>
  </sheetViews>
  <sheetFormatPr defaultColWidth="9.00390625" defaultRowHeight="14.25"/>
  <cols>
    <col min="1" max="2" width="9.00390625" style="1" customWidth="1"/>
    <col min="3" max="3" width="12.125" style="1" customWidth="1"/>
    <col min="4" max="5" width="9.00390625" style="1" customWidth="1"/>
    <col min="6" max="6" width="10.50390625" style="1" customWidth="1"/>
    <col min="7" max="7" width="10.375" style="1" customWidth="1"/>
    <col min="8" max="13" width="9.00390625" style="1" customWidth="1"/>
    <col min="14" max="14" width="11.50390625" style="1" bestFit="1" customWidth="1"/>
    <col min="15" max="16384" width="9.00390625" style="1" customWidth="1"/>
  </cols>
  <sheetData>
    <row r="1" spans="1:15" ht="12.7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146</v>
      </c>
      <c r="B2" s="3" t="s">
        <v>195</v>
      </c>
      <c r="C2" s="3" t="s">
        <v>196</v>
      </c>
      <c r="D2" s="3" t="s">
        <v>197</v>
      </c>
      <c r="E2" s="3" t="s">
        <v>148</v>
      </c>
      <c r="F2" s="3" t="s">
        <v>149</v>
      </c>
      <c r="G2" s="3"/>
      <c r="H2" s="3" t="s">
        <v>192</v>
      </c>
      <c r="I2" s="3"/>
      <c r="J2" s="3" t="s">
        <v>151</v>
      </c>
      <c r="K2" s="3"/>
      <c r="L2" s="3" t="s">
        <v>152</v>
      </c>
      <c r="M2" s="3"/>
      <c r="N2" s="3"/>
      <c r="O2" s="3" t="s">
        <v>71</v>
      </c>
    </row>
    <row r="3" spans="1:15" ht="12.75">
      <c r="A3" s="3"/>
      <c r="B3" s="3"/>
      <c r="C3" s="3"/>
      <c r="D3" s="3" t="s">
        <v>198</v>
      </c>
      <c r="E3" s="3"/>
      <c r="F3" s="3" t="s">
        <v>155</v>
      </c>
      <c r="G3" s="3" t="s">
        <v>154</v>
      </c>
      <c r="H3" s="3" t="s">
        <v>155</v>
      </c>
      <c r="I3" s="3" t="s">
        <v>154</v>
      </c>
      <c r="J3" s="3" t="s">
        <v>155</v>
      </c>
      <c r="K3" s="3" t="s">
        <v>154</v>
      </c>
      <c r="L3" s="3" t="s">
        <v>199</v>
      </c>
      <c r="M3" s="3" t="s">
        <v>159</v>
      </c>
      <c r="N3" s="3" t="s">
        <v>157</v>
      </c>
      <c r="O3" s="3"/>
    </row>
    <row r="4" spans="1:15" ht="12.75">
      <c r="A4" s="3"/>
      <c r="B4" s="3"/>
      <c r="C4" s="3"/>
      <c r="D4" s="4"/>
      <c r="E4" s="3"/>
      <c r="F4" s="3" t="s">
        <v>158</v>
      </c>
      <c r="G4" s="3" t="s">
        <v>158</v>
      </c>
      <c r="H4" s="3" t="s">
        <v>159</v>
      </c>
      <c r="I4" s="3" t="s">
        <v>159</v>
      </c>
      <c r="J4" s="3" t="s">
        <v>157</v>
      </c>
      <c r="K4" s="3" t="s">
        <v>157</v>
      </c>
      <c r="L4" s="3" t="s">
        <v>158</v>
      </c>
      <c r="M4" s="3"/>
      <c r="N4" s="3"/>
      <c r="O4" s="3"/>
    </row>
    <row r="5" spans="1:15" ht="22.5">
      <c r="A5" s="5"/>
      <c r="B5" s="5"/>
      <c r="C5" s="6" t="s">
        <v>200</v>
      </c>
      <c r="D5" s="5"/>
      <c r="E5" s="7" t="s">
        <v>201</v>
      </c>
      <c r="F5" s="8">
        <v>0</v>
      </c>
      <c r="G5" s="9">
        <v>15964.69266420356</v>
      </c>
      <c r="H5" s="5"/>
      <c r="I5" s="9">
        <v>15964.69266420356</v>
      </c>
      <c r="J5" s="5"/>
      <c r="K5" s="9">
        <v>15964.69266420356</v>
      </c>
      <c r="L5" s="13"/>
      <c r="M5" s="9">
        <v>15964.69266420356</v>
      </c>
      <c r="N5" s="9">
        <v>15964.69266420356</v>
      </c>
      <c r="O5" s="3" t="s">
        <v>202</v>
      </c>
    </row>
    <row r="6" spans="1:15" ht="22.5">
      <c r="A6" s="5"/>
      <c r="B6" s="5"/>
      <c r="C6" s="6" t="s">
        <v>203</v>
      </c>
      <c r="D6" s="5"/>
      <c r="E6" s="7" t="s">
        <v>201</v>
      </c>
      <c r="F6" s="8"/>
      <c r="G6" s="9">
        <v>2672698.6069108155</v>
      </c>
      <c r="H6" s="5"/>
      <c r="I6" s="9">
        <v>2672698.6069108155</v>
      </c>
      <c r="J6" s="5"/>
      <c r="K6" s="9">
        <v>2672698.6069108155</v>
      </c>
      <c r="L6" s="13"/>
      <c r="M6" s="9">
        <v>2672698.6069108155</v>
      </c>
      <c r="N6" s="9">
        <v>2672698.6069108155</v>
      </c>
      <c r="O6" s="3"/>
    </row>
    <row r="7" spans="1:15" ht="22.5">
      <c r="A7" s="5"/>
      <c r="B7" s="5"/>
      <c r="C7" s="10" t="s">
        <v>204</v>
      </c>
      <c r="D7" s="5"/>
      <c r="E7" s="7" t="s">
        <v>201</v>
      </c>
      <c r="F7" s="8"/>
      <c r="G7" s="9">
        <v>36447.325644569915</v>
      </c>
      <c r="H7" s="5"/>
      <c r="I7" s="9">
        <v>36447.325644569915</v>
      </c>
      <c r="J7" s="5"/>
      <c r="K7" s="9">
        <v>36447.325644569915</v>
      </c>
      <c r="L7" s="13"/>
      <c r="M7" s="9">
        <v>36447.325644569915</v>
      </c>
      <c r="N7" s="9">
        <v>36447.325644569915</v>
      </c>
      <c r="O7" s="3"/>
    </row>
    <row r="8" spans="1:15" ht="22.5">
      <c r="A8" s="5"/>
      <c r="B8" s="5"/>
      <c r="C8" s="10" t="s">
        <v>205</v>
      </c>
      <c r="D8" s="5"/>
      <c r="E8" s="7" t="s">
        <v>201</v>
      </c>
      <c r="F8" s="8"/>
      <c r="G8" s="9">
        <v>2012716.3647602978</v>
      </c>
      <c r="H8" s="5"/>
      <c r="I8" s="9">
        <v>2012716.3647602978</v>
      </c>
      <c r="J8" s="5"/>
      <c r="K8" s="9">
        <v>2012716.3647602978</v>
      </c>
      <c r="L8" s="13"/>
      <c r="M8" s="9">
        <v>2012716.3647602978</v>
      </c>
      <c r="N8" s="9">
        <v>2012716.3647602978</v>
      </c>
      <c r="O8" s="3"/>
    </row>
    <row r="9" spans="1:15" ht="22.5">
      <c r="A9" s="5"/>
      <c r="B9" s="5"/>
      <c r="C9" s="10" t="s">
        <v>206</v>
      </c>
      <c r="D9" s="5"/>
      <c r="E9" s="7" t="s">
        <v>201</v>
      </c>
      <c r="F9" s="8"/>
      <c r="G9" s="9">
        <v>0</v>
      </c>
      <c r="H9" s="5"/>
      <c r="I9" s="9">
        <v>0</v>
      </c>
      <c r="J9" s="5"/>
      <c r="K9" s="9">
        <v>0</v>
      </c>
      <c r="L9" s="13"/>
      <c r="M9" s="9">
        <v>0</v>
      </c>
      <c r="N9" s="9">
        <v>0</v>
      </c>
      <c r="O9" s="3"/>
    </row>
    <row r="10" spans="1:15" ht="22.5">
      <c r="A10" s="5"/>
      <c r="B10" s="5"/>
      <c r="C10" s="10" t="s">
        <v>207</v>
      </c>
      <c r="D10" s="5"/>
      <c r="E10" s="7" t="s">
        <v>201</v>
      </c>
      <c r="F10" s="8"/>
      <c r="G10" s="9">
        <v>603.3898025634427</v>
      </c>
      <c r="H10" s="5"/>
      <c r="I10" s="9">
        <v>603.3898025634427</v>
      </c>
      <c r="J10" s="5"/>
      <c r="K10" s="9">
        <v>603.3898025634427</v>
      </c>
      <c r="L10" s="13"/>
      <c r="M10" s="9">
        <v>603.3898025634427</v>
      </c>
      <c r="N10" s="9">
        <v>603.3898025634427</v>
      </c>
      <c r="O10" s="3"/>
    </row>
    <row r="11" spans="1:15" ht="22.5">
      <c r="A11" s="5"/>
      <c r="B11" s="5"/>
      <c r="C11" s="10" t="s">
        <v>208</v>
      </c>
      <c r="D11" s="5"/>
      <c r="E11" s="7" t="s">
        <v>201</v>
      </c>
      <c r="F11" s="8"/>
      <c r="G11" s="9">
        <v>3856.263966263904</v>
      </c>
      <c r="H11" s="5"/>
      <c r="I11" s="9">
        <v>3856.263966263904</v>
      </c>
      <c r="J11" s="5"/>
      <c r="K11" s="9">
        <v>3856.263966263904</v>
      </c>
      <c r="L11" s="13"/>
      <c r="M11" s="9">
        <v>3856.263966263904</v>
      </c>
      <c r="N11" s="9">
        <v>3856.263966263904</v>
      </c>
      <c r="O11" s="3"/>
    </row>
    <row r="12" spans="1:15" ht="22.5">
      <c r="A12" s="5"/>
      <c r="B12" s="5"/>
      <c r="C12" s="10" t="s">
        <v>209</v>
      </c>
      <c r="D12" s="5"/>
      <c r="E12" s="7" t="s">
        <v>201</v>
      </c>
      <c r="F12" s="8"/>
      <c r="G12" s="9">
        <v>293.9474870567028</v>
      </c>
      <c r="H12" s="5"/>
      <c r="I12" s="9">
        <v>293.9474870567028</v>
      </c>
      <c r="J12" s="5"/>
      <c r="K12" s="9">
        <v>293.9474870567028</v>
      </c>
      <c r="L12" s="13"/>
      <c r="M12" s="9">
        <v>293.9474870567028</v>
      </c>
      <c r="N12" s="9">
        <v>293.9474870567028</v>
      </c>
      <c r="O12" s="3"/>
    </row>
    <row r="13" spans="1:15" ht="22.5">
      <c r="A13" s="11"/>
      <c r="B13" s="11"/>
      <c r="C13" s="10" t="s">
        <v>210</v>
      </c>
      <c r="D13" s="11"/>
      <c r="E13" s="7" t="s">
        <v>201</v>
      </c>
      <c r="F13" s="11"/>
      <c r="G13" s="9">
        <v>80951.29177265921</v>
      </c>
      <c r="H13" s="11"/>
      <c r="I13" s="9">
        <v>80951.29177265921</v>
      </c>
      <c r="J13" s="11"/>
      <c r="K13" s="9">
        <v>80951.29177265921</v>
      </c>
      <c r="L13" s="11"/>
      <c r="M13" s="9">
        <v>80951.29177265921</v>
      </c>
      <c r="N13" s="9">
        <v>80951.29177265921</v>
      </c>
      <c r="O13" s="3"/>
    </row>
    <row r="14" spans="1:15" ht="22.5">
      <c r="A14" s="11"/>
      <c r="B14" s="11"/>
      <c r="C14" s="10" t="s">
        <v>211</v>
      </c>
      <c r="D14" s="11"/>
      <c r="E14" s="7" t="s">
        <v>201</v>
      </c>
      <c r="F14" s="11"/>
      <c r="G14" s="9">
        <v>7669.095816719551</v>
      </c>
      <c r="H14" s="11"/>
      <c r="I14" s="9">
        <v>7669.095816719551</v>
      </c>
      <c r="J14" s="11"/>
      <c r="K14" s="9">
        <v>7669.095816719551</v>
      </c>
      <c r="L14" s="11"/>
      <c r="M14" s="9">
        <v>7669.095816719551</v>
      </c>
      <c r="N14" s="9">
        <v>7669.095816719551</v>
      </c>
      <c r="O14" s="3"/>
    </row>
    <row r="15" spans="1:15" ht="22.5">
      <c r="A15" s="11"/>
      <c r="B15" s="11"/>
      <c r="C15" s="10" t="s">
        <v>212</v>
      </c>
      <c r="D15" s="11"/>
      <c r="E15" s="7" t="s">
        <v>201</v>
      </c>
      <c r="F15" s="11"/>
      <c r="G15" s="9">
        <v>23687.544339210373</v>
      </c>
      <c r="H15" s="11"/>
      <c r="I15" s="9">
        <v>23687.544339210373</v>
      </c>
      <c r="J15" s="11"/>
      <c r="K15" s="9">
        <v>23687.544339210373</v>
      </c>
      <c r="L15" s="11"/>
      <c r="M15" s="9">
        <v>23687.544339210373</v>
      </c>
      <c r="N15" s="9">
        <v>23687.544339210373</v>
      </c>
      <c r="O15" s="3"/>
    </row>
    <row r="16" spans="1:15" ht="22.5">
      <c r="A16" s="11"/>
      <c r="B16" s="11"/>
      <c r="C16" s="10" t="s">
        <v>213</v>
      </c>
      <c r="D16" s="11"/>
      <c r="E16" s="7" t="s">
        <v>201</v>
      </c>
      <c r="F16" s="11"/>
      <c r="G16" s="9">
        <v>18078.24980061888</v>
      </c>
      <c r="H16" s="11"/>
      <c r="I16" s="9">
        <v>18078.24980061888</v>
      </c>
      <c r="J16" s="11"/>
      <c r="K16" s="9">
        <v>18078.24980061888</v>
      </c>
      <c r="L16" s="11"/>
      <c r="M16" s="9">
        <v>18078.24980061888</v>
      </c>
      <c r="N16" s="9">
        <v>18078.24980061888</v>
      </c>
      <c r="O16" s="3"/>
    </row>
    <row r="17" spans="3:14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3:14" ht="12.7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3:14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3:14" ht="12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3:14" ht="12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3:14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sheetProtection/>
  <mergeCells count="13">
    <mergeCell ref="A1:O1"/>
    <mergeCell ref="F2:G2"/>
    <mergeCell ref="H2:I2"/>
    <mergeCell ref="J2:K2"/>
    <mergeCell ref="L2:N2"/>
    <mergeCell ref="A2:A4"/>
    <mergeCell ref="B2:B4"/>
    <mergeCell ref="C2:C4"/>
    <mergeCell ref="E2:E4"/>
    <mergeCell ref="M3:M4"/>
    <mergeCell ref="N3:N4"/>
    <mergeCell ref="O2:O4"/>
    <mergeCell ref="O5:O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sofar</dc:creator>
  <cp:keywords/>
  <dc:description/>
  <cp:lastModifiedBy>小九九</cp:lastModifiedBy>
  <cp:lastPrinted>2012-11-30T00:33:18Z</cp:lastPrinted>
  <dcterms:created xsi:type="dcterms:W3CDTF">2011-05-12T07:07:39Z</dcterms:created>
  <dcterms:modified xsi:type="dcterms:W3CDTF">2024-01-10T09:16:39Z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FC25877071504183B6837AF07EA17445_13</vt:lpwstr>
  </property>
  <property fmtid="{D5CDD505-2E9C-101B-9397-08002B2CF9AE}" pid="4" name="KSOProductBuildV">
    <vt:lpwstr>2052-12.1.0.16120</vt:lpwstr>
  </property>
</Properties>
</file>